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f6a82dbb78295fd/Documents/Georgia Soccer/2026/Budget/"/>
    </mc:Choice>
  </mc:AlternateContent>
  <xr:revisionPtr revIDLastSave="0" documentId="8_{CC63BC7C-0B1D-432A-A97F-EC3BCAB645B9}" xr6:coauthVersionLast="47" xr6:coauthVersionMax="47" xr10:uidLastSave="{00000000-0000-0000-0000-000000000000}"/>
  <bookViews>
    <workbookView xWindow="-98" yWindow="-98" windowWidth="21795" windowHeight="14235" xr2:uid="{00000000-000D-0000-FFFF-FFFF00000000}"/>
  </bookViews>
  <sheets>
    <sheet name="Budget vs. Actuals" sheetId="1" r:id="rId1"/>
  </sheets>
  <definedNames>
    <definedName name="_xlnm.Print_Area" localSheetId="0">'Budget vs. Actuals'!$A$1:$AG$88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85" i="1" l="1"/>
  <c r="AB85" i="1"/>
  <c r="Y85" i="1"/>
  <c r="X85" i="1"/>
  <c r="U85" i="1"/>
  <c r="R85" i="1"/>
  <c r="T85" i="1" s="1"/>
  <c r="Q85" i="1"/>
  <c r="N85" i="1"/>
  <c r="P85" i="1" s="1"/>
  <c r="M85" i="1"/>
  <c r="J85" i="1"/>
  <c r="L85" i="1" s="1"/>
  <c r="F85" i="1"/>
  <c r="H85" i="1" s="1"/>
  <c r="B85" i="1"/>
  <c r="E85" i="1" s="1"/>
  <c r="AC84" i="1"/>
  <c r="AB84" i="1"/>
  <c r="Y84" i="1"/>
  <c r="X84" i="1"/>
  <c r="R84" i="1"/>
  <c r="T84" i="1" s="1"/>
  <c r="Q84" i="1"/>
  <c r="N84" i="1"/>
  <c r="P84" i="1" s="1"/>
  <c r="J84" i="1"/>
  <c r="L84" i="1" s="1"/>
  <c r="F84" i="1"/>
  <c r="E84" i="1"/>
  <c r="D84" i="1"/>
  <c r="AA83" i="1"/>
  <c r="Z83" i="1"/>
  <c r="AB83" i="1" s="1"/>
  <c r="V83" i="1"/>
  <c r="X83" i="1" s="1"/>
  <c r="R83" i="1"/>
  <c r="T83" i="1" s="1"/>
  <c r="N83" i="1"/>
  <c r="P83" i="1" s="1"/>
  <c r="J83" i="1"/>
  <c r="L83" i="1" s="1"/>
  <c r="G83" i="1"/>
  <c r="F83" i="1"/>
  <c r="H83" i="1" s="1"/>
  <c r="C83" i="1"/>
  <c r="B83" i="1"/>
  <c r="Z82" i="1"/>
  <c r="AB82" i="1" s="1"/>
  <c r="V82" i="1"/>
  <c r="X82" i="1" s="1"/>
  <c r="R82" i="1"/>
  <c r="T82" i="1" s="1"/>
  <c r="N82" i="1"/>
  <c r="P82" i="1" s="1"/>
  <c r="J82" i="1"/>
  <c r="L82" i="1" s="1"/>
  <c r="F82" i="1"/>
  <c r="H82" i="1" s="1"/>
  <c r="B82" i="1"/>
  <c r="AC81" i="1"/>
  <c r="AB81" i="1"/>
  <c r="Y81" i="1"/>
  <c r="X81" i="1"/>
  <c r="U81" i="1"/>
  <c r="T81" i="1"/>
  <c r="Q81" i="1"/>
  <c r="N81" i="1"/>
  <c r="P81" i="1" s="1"/>
  <c r="K81" i="1"/>
  <c r="F81" i="1"/>
  <c r="E81" i="1"/>
  <c r="D81" i="1"/>
  <c r="AA80" i="1"/>
  <c r="Z80" i="1"/>
  <c r="AB80" i="1" s="1"/>
  <c r="Y80" i="1"/>
  <c r="V80" i="1"/>
  <c r="X80" i="1" s="1"/>
  <c r="R80" i="1"/>
  <c r="T80" i="1" s="1"/>
  <c r="Q80" i="1"/>
  <c r="N80" i="1"/>
  <c r="P80" i="1" s="1"/>
  <c r="K80" i="1"/>
  <c r="J80" i="1"/>
  <c r="L80" i="1" s="1"/>
  <c r="I80" i="1"/>
  <c r="F80" i="1"/>
  <c r="H80" i="1" s="1"/>
  <c r="B80" i="1"/>
  <c r="Z79" i="1"/>
  <c r="AB79" i="1" s="1"/>
  <c r="V79" i="1"/>
  <c r="X79" i="1" s="1"/>
  <c r="R79" i="1"/>
  <c r="T79" i="1" s="1"/>
  <c r="N79" i="1"/>
  <c r="P79" i="1" s="1"/>
  <c r="J79" i="1"/>
  <c r="L79" i="1" s="1"/>
  <c r="F79" i="1"/>
  <c r="H79" i="1" s="1"/>
  <c r="B79" i="1"/>
  <c r="AC78" i="1"/>
  <c r="Z78" i="1"/>
  <c r="AB78" i="1" s="1"/>
  <c r="V78" i="1"/>
  <c r="X78" i="1" s="1"/>
  <c r="U78" i="1"/>
  <c r="R78" i="1"/>
  <c r="T78" i="1" s="1"/>
  <c r="N78" i="1"/>
  <c r="P78" i="1" s="1"/>
  <c r="M78" i="1"/>
  <c r="J78" i="1"/>
  <c r="L78" i="1" s="1"/>
  <c r="I78" i="1"/>
  <c r="H78" i="1"/>
  <c r="B78" i="1"/>
  <c r="AC77" i="1"/>
  <c r="AB77" i="1"/>
  <c r="Y77" i="1"/>
  <c r="X77" i="1"/>
  <c r="U77" i="1"/>
  <c r="T77" i="1"/>
  <c r="Q77" i="1"/>
  <c r="P77" i="1"/>
  <c r="J77" i="1"/>
  <c r="L77" i="1" s="1"/>
  <c r="F77" i="1"/>
  <c r="H77" i="1" s="1"/>
  <c r="B77" i="1"/>
  <c r="Z76" i="1"/>
  <c r="AB76" i="1" s="1"/>
  <c r="Y76" i="1"/>
  <c r="V76" i="1"/>
  <c r="X76" i="1" s="1"/>
  <c r="S76" i="1"/>
  <c r="R76" i="1"/>
  <c r="T76" i="1" s="1"/>
  <c r="N76" i="1"/>
  <c r="M76" i="1"/>
  <c r="L76" i="1"/>
  <c r="I76" i="1"/>
  <c r="H76" i="1"/>
  <c r="E76" i="1"/>
  <c r="D76" i="1"/>
  <c r="Z75" i="1"/>
  <c r="Y75" i="1"/>
  <c r="X75" i="1"/>
  <c r="U75" i="1"/>
  <c r="T75" i="1"/>
  <c r="Q75" i="1"/>
  <c r="P75" i="1"/>
  <c r="M75" i="1"/>
  <c r="L75" i="1"/>
  <c r="I75" i="1"/>
  <c r="H75" i="1"/>
  <c r="E75" i="1"/>
  <c r="D75" i="1"/>
  <c r="AE74" i="1"/>
  <c r="AG74" i="1" s="1"/>
  <c r="AC74" i="1"/>
  <c r="Z74" i="1"/>
  <c r="AB74" i="1" s="1"/>
  <c r="Y74" i="1"/>
  <c r="X74" i="1"/>
  <c r="U74" i="1"/>
  <c r="T74" i="1"/>
  <c r="Q74" i="1"/>
  <c r="N74" i="1"/>
  <c r="P74" i="1" s="1"/>
  <c r="M74" i="1"/>
  <c r="L74" i="1"/>
  <c r="I74" i="1"/>
  <c r="H74" i="1"/>
  <c r="E74" i="1"/>
  <c r="B74" i="1"/>
  <c r="AC73" i="1"/>
  <c r="AB73" i="1"/>
  <c r="Y73" i="1"/>
  <c r="X73" i="1"/>
  <c r="R73" i="1"/>
  <c r="U73" i="1" s="1"/>
  <c r="Q73" i="1"/>
  <c r="P73" i="1"/>
  <c r="M73" i="1"/>
  <c r="L73" i="1"/>
  <c r="I73" i="1"/>
  <c r="H73" i="1"/>
  <c r="C73" i="1"/>
  <c r="Z72" i="1"/>
  <c r="AB72" i="1" s="1"/>
  <c r="Y72" i="1"/>
  <c r="X72" i="1"/>
  <c r="U72" i="1"/>
  <c r="T72" i="1"/>
  <c r="N72" i="1"/>
  <c r="P72" i="1" s="1"/>
  <c r="M72" i="1"/>
  <c r="L72" i="1"/>
  <c r="I72" i="1"/>
  <c r="H72" i="1"/>
  <c r="B72" i="1"/>
  <c r="E72" i="1" s="1"/>
  <c r="AC71" i="1"/>
  <c r="AB71" i="1"/>
  <c r="Y71" i="1"/>
  <c r="X71" i="1"/>
  <c r="U71" i="1"/>
  <c r="T71" i="1"/>
  <c r="Q71" i="1"/>
  <c r="P71" i="1"/>
  <c r="M71" i="1"/>
  <c r="L71" i="1"/>
  <c r="I71" i="1"/>
  <c r="H71" i="1"/>
  <c r="C71" i="1"/>
  <c r="B71" i="1"/>
  <c r="D71" i="1" s="1"/>
  <c r="Z70" i="1"/>
  <c r="AB70" i="1" s="1"/>
  <c r="Y70" i="1"/>
  <c r="X70" i="1"/>
  <c r="U70" i="1"/>
  <c r="T70" i="1"/>
  <c r="N70" i="1"/>
  <c r="M70" i="1"/>
  <c r="L70" i="1"/>
  <c r="I70" i="1"/>
  <c r="H70" i="1"/>
  <c r="E70" i="1"/>
  <c r="D70" i="1"/>
  <c r="Z69" i="1"/>
  <c r="Y69" i="1"/>
  <c r="X69" i="1"/>
  <c r="U69" i="1"/>
  <c r="T69" i="1"/>
  <c r="Q69" i="1"/>
  <c r="P69" i="1"/>
  <c r="M69" i="1"/>
  <c r="L69" i="1"/>
  <c r="I69" i="1"/>
  <c r="H69" i="1"/>
  <c r="E69" i="1"/>
  <c r="D69" i="1"/>
  <c r="AE68" i="1"/>
  <c r="AC68" i="1"/>
  <c r="AB68" i="1"/>
  <c r="Y68" i="1"/>
  <c r="X68" i="1"/>
  <c r="U68" i="1"/>
  <c r="T68" i="1"/>
  <c r="N68" i="1"/>
  <c r="Q68" i="1" s="1"/>
  <c r="M68" i="1"/>
  <c r="L68" i="1"/>
  <c r="I68" i="1"/>
  <c r="H68" i="1"/>
  <c r="E68" i="1"/>
  <c r="D68" i="1"/>
  <c r="AC67" i="1"/>
  <c r="AB67" i="1"/>
  <c r="Y67" i="1"/>
  <c r="X67" i="1"/>
  <c r="U67" i="1"/>
  <c r="T67" i="1"/>
  <c r="Q67" i="1"/>
  <c r="P67" i="1"/>
  <c r="J67" i="1"/>
  <c r="L67" i="1" s="1"/>
  <c r="I67" i="1"/>
  <c r="H67" i="1"/>
  <c r="B67" i="1"/>
  <c r="AC66" i="1"/>
  <c r="AB66" i="1"/>
  <c r="V66" i="1"/>
  <c r="X66" i="1" s="1"/>
  <c r="U66" i="1"/>
  <c r="T66" i="1"/>
  <c r="N66" i="1"/>
  <c r="P66" i="1" s="1"/>
  <c r="J66" i="1"/>
  <c r="L66" i="1" s="1"/>
  <c r="F66" i="1"/>
  <c r="E66" i="1"/>
  <c r="D66" i="1"/>
  <c r="AC65" i="1"/>
  <c r="AB65" i="1"/>
  <c r="Y65" i="1"/>
  <c r="X65" i="1"/>
  <c r="R65" i="1"/>
  <c r="Q65" i="1"/>
  <c r="P65" i="1"/>
  <c r="M65" i="1"/>
  <c r="L65" i="1"/>
  <c r="I65" i="1"/>
  <c r="H65" i="1"/>
  <c r="E65" i="1"/>
  <c r="D65" i="1"/>
  <c r="Z64" i="1"/>
  <c r="AB64" i="1" s="1"/>
  <c r="V64" i="1"/>
  <c r="X64" i="1" s="1"/>
  <c r="R64" i="1"/>
  <c r="T64" i="1" s="1"/>
  <c r="N64" i="1"/>
  <c r="P64" i="1" s="1"/>
  <c r="B64" i="1"/>
  <c r="Z63" i="1"/>
  <c r="Y63" i="1"/>
  <c r="X63" i="1"/>
  <c r="U63" i="1"/>
  <c r="T63" i="1"/>
  <c r="Q63" i="1"/>
  <c r="P63" i="1"/>
  <c r="M63" i="1"/>
  <c r="L63" i="1"/>
  <c r="I63" i="1"/>
  <c r="H63" i="1"/>
  <c r="E63" i="1"/>
  <c r="D63" i="1"/>
  <c r="Z62" i="1"/>
  <c r="Y62" i="1"/>
  <c r="X62" i="1"/>
  <c r="U62" i="1"/>
  <c r="T62" i="1"/>
  <c r="Q62" i="1"/>
  <c r="P62" i="1"/>
  <c r="M62" i="1"/>
  <c r="L62" i="1"/>
  <c r="I62" i="1"/>
  <c r="H62" i="1"/>
  <c r="E62" i="1"/>
  <c r="D62" i="1"/>
  <c r="AC61" i="1"/>
  <c r="Z61" i="1"/>
  <c r="Q61" i="1"/>
  <c r="P61" i="1"/>
  <c r="M61" i="1"/>
  <c r="L61" i="1"/>
  <c r="I61" i="1"/>
  <c r="H61" i="1"/>
  <c r="E61" i="1"/>
  <c r="D61" i="1"/>
  <c r="Z60" i="1"/>
  <c r="Y60" i="1"/>
  <c r="X60" i="1"/>
  <c r="U60" i="1"/>
  <c r="T60" i="1"/>
  <c r="Q60" i="1"/>
  <c r="P60" i="1"/>
  <c r="M60" i="1"/>
  <c r="L60" i="1"/>
  <c r="I60" i="1"/>
  <c r="H60" i="1"/>
  <c r="E60" i="1"/>
  <c r="D60" i="1"/>
  <c r="Z59" i="1"/>
  <c r="AB59" i="1" s="1"/>
  <c r="Y59" i="1"/>
  <c r="X59" i="1"/>
  <c r="R59" i="1"/>
  <c r="T59" i="1" s="1"/>
  <c r="N59" i="1"/>
  <c r="P59" i="1" s="1"/>
  <c r="M59" i="1"/>
  <c r="L59" i="1"/>
  <c r="I59" i="1"/>
  <c r="F59" i="1"/>
  <c r="E59" i="1"/>
  <c r="D59" i="1"/>
  <c r="AC58" i="1"/>
  <c r="AB58" i="1"/>
  <c r="V58" i="1"/>
  <c r="U58" i="1"/>
  <c r="T58" i="1"/>
  <c r="Q58" i="1"/>
  <c r="P58" i="1"/>
  <c r="M58" i="1"/>
  <c r="L58" i="1"/>
  <c r="I58" i="1"/>
  <c r="H58" i="1"/>
  <c r="E58" i="1"/>
  <c r="D58" i="1"/>
  <c r="AC57" i="1"/>
  <c r="AB57" i="1"/>
  <c r="V57" i="1"/>
  <c r="U57" i="1"/>
  <c r="T57" i="1"/>
  <c r="Q57" i="1"/>
  <c r="P57" i="1"/>
  <c r="M57" i="1"/>
  <c r="L57" i="1"/>
  <c r="I57" i="1"/>
  <c r="H57" i="1"/>
  <c r="E57" i="1"/>
  <c r="D57" i="1"/>
  <c r="AC56" i="1"/>
  <c r="AB56" i="1"/>
  <c r="V56" i="1"/>
  <c r="U56" i="1"/>
  <c r="T56" i="1"/>
  <c r="Q56" i="1"/>
  <c r="P56" i="1"/>
  <c r="M56" i="1"/>
  <c r="L56" i="1"/>
  <c r="I56" i="1"/>
  <c r="H56" i="1"/>
  <c r="E56" i="1"/>
  <c r="D56" i="1"/>
  <c r="AC55" i="1"/>
  <c r="AB55" i="1"/>
  <c r="V55" i="1"/>
  <c r="U55" i="1"/>
  <c r="T55" i="1"/>
  <c r="Q55" i="1"/>
  <c r="P55" i="1"/>
  <c r="M55" i="1"/>
  <c r="L55" i="1"/>
  <c r="I55" i="1"/>
  <c r="H55" i="1"/>
  <c r="E55" i="1"/>
  <c r="D55" i="1"/>
  <c r="AE54" i="1"/>
  <c r="AC54" i="1"/>
  <c r="AB54" i="1"/>
  <c r="Y54" i="1"/>
  <c r="X54" i="1"/>
  <c r="U54" i="1"/>
  <c r="T54" i="1"/>
  <c r="N54" i="1"/>
  <c r="Q54" i="1" s="1"/>
  <c r="M54" i="1"/>
  <c r="L54" i="1"/>
  <c r="I54" i="1"/>
  <c r="H54" i="1"/>
  <c r="E54" i="1"/>
  <c r="D54" i="1"/>
  <c r="Z53" i="1"/>
  <c r="AB53" i="1" s="1"/>
  <c r="V53" i="1"/>
  <c r="X53" i="1" s="1"/>
  <c r="R53" i="1"/>
  <c r="T53" i="1" s="1"/>
  <c r="N53" i="1"/>
  <c r="P53" i="1" s="1"/>
  <c r="F53" i="1"/>
  <c r="AC52" i="1"/>
  <c r="AB52" i="1"/>
  <c r="R52" i="1"/>
  <c r="U52" i="1" s="1"/>
  <c r="Q52" i="1"/>
  <c r="P52" i="1"/>
  <c r="M52" i="1"/>
  <c r="L52" i="1"/>
  <c r="I52" i="1"/>
  <c r="H52" i="1"/>
  <c r="E52" i="1"/>
  <c r="D52" i="1"/>
  <c r="AC51" i="1"/>
  <c r="AB51" i="1"/>
  <c r="V51" i="1"/>
  <c r="X51" i="1" s="1"/>
  <c r="U51" i="1"/>
  <c r="R51" i="1"/>
  <c r="T51" i="1" s="1"/>
  <c r="Q51" i="1"/>
  <c r="P51" i="1"/>
  <c r="I51" i="1"/>
  <c r="H51" i="1"/>
  <c r="B51" i="1"/>
  <c r="E51" i="1" s="1"/>
  <c r="AC50" i="1"/>
  <c r="Z50" i="1"/>
  <c r="AB50" i="1" s="1"/>
  <c r="Y50" i="1"/>
  <c r="V50" i="1"/>
  <c r="U50" i="1"/>
  <c r="T50" i="1"/>
  <c r="M50" i="1"/>
  <c r="L50" i="1"/>
  <c r="I50" i="1"/>
  <c r="H50" i="1"/>
  <c r="E50" i="1"/>
  <c r="D50" i="1"/>
  <c r="AC49" i="1"/>
  <c r="AB49" i="1"/>
  <c r="Y49" i="1"/>
  <c r="X49" i="1"/>
  <c r="U49" i="1"/>
  <c r="T49" i="1"/>
  <c r="Q49" i="1"/>
  <c r="P49" i="1"/>
  <c r="M49" i="1"/>
  <c r="L49" i="1"/>
  <c r="I49" i="1"/>
  <c r="H49" i="1"/>
  <c r="B49" i="1"/>
  <c r="AE48" i="1"/>
  <c r="AC48" i="1"/>
  <c r="AB48" i="1"/>
  <c r="Y48" i="1"/>
  <c r="X48" i="1"/>
  <c r="U48" i="1"/>
  <c r="T48" i="1"/>
  <c r="Q48" i="1"/>
  <c r="P48" i="1"/>
  <c r="M48" i="1"/>
  <c r="L48" i="1"/>
  <c r="I48" i="1"/>
  <c r="H48" i="1"/>
  <c r="B48" i="1"/>
  <c r="E48" i="1" s="1"/>
  <c r="AC47" i="1"/>
  <c r="AB47" i="1"/>
  <c r="Y47" i="1"/>
  <c r="X47" i="1"/>
  <c r="R47" i="1"/>
  <c r="Q47" i="1"/>
  <c r="P47" i="1"/>
  <c r="M47" i="1"/>
  <c r="L47" i="1"/>
  <c r="I47" i="1"/>
  <c r="H47" i="1"/>
  <c r="E47" i="1"/>
  <c r="D47" i="1"/>
  <c r="AC46" i="1"/>
  <c r="AB46" i="1"/>
  <c r="U46" i="1"/>
  <c r="T46" i="1"/>
  <c r="Q46" i="1"/>
  <c r="P46" i="1"/>
  <c r="M46" i="1"/>
  <c r="L46" i="1"/>
  <c r="I46" i="1"/>
  <c r="H46" i="1"/>
  <c r="B46" i="1"/>
  <c r="Z45" i="1"/>
  <c r="Y45" i="1"/>
  <c r="X45" i="1"/>
  <c r="U45" i="1"/>
  <c r="T45" i="1"/>
  <c r="Q45" i="1"/>
  <c r="P45" i="1"/>
  <c r="M45" i="1"/>
  <c r="L45" i="1"/>
  <c r="I45" i="1"/>
  <c r="H45" i="1"/>
  <c r="E45" i="1"/>
  <c r="D45" i="1"/>
  <c r="Z44" i="1"/>
  <c r="Y44" i="1"/>
  <c r="X44" i="1"/>
  <c r="U44" i="1"/>
  <c r="T44" i="1"/>
  <c r="Q44" i="1"/>
  <c r="P44" i="1"/>
  <c r="M44" i="1"/>
  <c r="L44" i="1"/>
  <c r="I44" i="1"/>
  <c r="H44" i="1"/>
  <c r="E44" i="1"/>
  <c r="D44" i="1"/>
  <c r="AC43" i="1"/>
  <c r="AB43" i="1"/>
  <c r="Y43" i="1"/>
  <c r="X43" i="1"/>
  <c r="U43" i="1"/>
  <c r="T43" i="1"/>
  <c r="N43" i="1"/>
  <c r="M43" i="1"/>
  <c r="L43" i="1"/>
  <c r="I43" i="1"/>
  <c r="H43" i="1"/>
  <c r="E43" i="1"/>
  <c r="D43" i="1"/>
  <c r="Z42" i="1"/>
  <c r="Y42" i="1"/>
  <c r="X42" i="1"/>
  <c r="U42" i="1"/>
  <c r="T42" i="1"/>
  <c r="Q42" i="1"/>
  <c r="P42" i="1"/>
  <c r="M42" i="1"/>
  <c r="L42" i="1"/>
  <c r="I42" i="1"/>
  <c r="H42" i="1"/>
  <c r="E42" i="1"/>
  <c r="D42" i="1"/>
  <c r="Z41" i="1"/>
  <c r="Y41" i="1"/>
  <c r="X41" i="1"/>
  <c r="U41" i="1"/>
  <c r="T41" i="1"/>
  <c r="Q41" i="1"/>
  <c r="P41" i="1"/>
  <c r="M41" i="1"/>
  <c r="L41" i="1"/>
  <c r="I41" i="1"/>
  <c r="H41" i="1"/>
  <c r="E41" i="1"/>
  <c r="D41" i="1"/>
  <c r="AD40" i="1"/>
  <c r="Y40" i="1"/>
  <c r="X40" i="1"/>
  <c r="U40" i="1"/>
  <c r="T40" i="1"/>
  <c r="Q40" i="1"/>
  <c r="P40" i="1"/>
  <c r="M40" i="1"/>
  <c r="L40" i="1"/>
  <c r="I40" i="1"/>
  <c r="H40" i="1"/>
  <c r="E40" i="1"/>
  <c r="D40" i="1"/>
  <c r="AC39" i="1"/>
  <c r="AB39" i="1"/>
  <c r="Y39" i="1"/>
  <c r="X39" i="1"/>
  <c r="N39" i="1"/>
  <c r="M39" i="1"/>
  <c r="L39" i="1"/>
  <c r="I39" i="1"/>
  <c r="H39" i="1"/>
  <c r="E39" i="1"/>
  <c r="D39" i="1"/>
  <c r="Z38" i="1"/>
  <c r="AB38" i="1" s="1"/>
  <c r="Y38" i="1"/>
  <c r="V38" i="1"/>
  <c r="U38" i="1"/>
  <c r="T38" i="1"/>
  <c r="Q38" i="1"/>
  <c r="N38" i="1"/>
  <c r="P38" i="1" s="1"/>
  <c r="J38" i="1"/>
  <c r="L38" i="1" s="1"/>
  <c r="I38" i="1"/>
  <c r="H38" i="1"/>
  <c r="B38" i="1"/>
  <c r="Z37" i="1"/>
  <c r="AB37" i="1" s="1"/>
  <c r="Y37" i="1"/>
  <c r="X37" i="1"/>
  <c r="U37" i="1"/>
  <c r="T37" i="1"/>
  <c r="Q37" i="1"/>
  <c r="P37" i="1"/>
  <c r="K37" i="1"/>
  <c r="J37" i="1"/>
  <c r="L37" i="1" s="1"/>
  <c r="I37" i="1"/>
  <c r="H37" i="1"/>
  <c r="B37" i="1"/>
  <c r="E37" i="1" s="1"/>
  <c r="Z36" i="1"/>
  <c r="AB36" i="1" s="1"/>
  <c r="Y36" i="1"/>
  <c r="X36" i="1"/>
  <c r="U36" i="1"/>
  <c r="T36" i="1"/>
  <c r="N36" i="1"/>
  <c r="AD36" i="1" s="1"/>
  <c r="M36" i="1"/>
  <c r="L36" i="1"/>
  <c r="I36" i="1"/>
  <c r="H36" i="1"/>
  <c r="E36" i="1"/>
  <c r="D36" i="1"/>
  <c r="AA35" i="1"/>
  <c r="Z35" i="1"/>
  <c r="AB35" i="1" s="1"/>
  <c r="Y35" i="1"/>
  <c r="X35" i="1"/>
  <c r="U35" i="1"/>
  <c r="T35" i="1"/>
  <c r="N35" i="1"/>
  <c r="M35" i="1"/>
  <c r="L35" i="1"/>
  <c r="I35" i="1"/>
  <c r="H35" i="1"/>
  <c r="E35" i="1"/>
  <c r="D35" i="1"/>
  <c r="AC34" i="1"/>
  <c r="Z34" i="1"/>
  <c r="X34" i="1"/>
  <c r="U34" i="1"/>
  <c r="T34" i="1"/>
  <c r="Q34" i="1"/>
  <c r="P34" i="1"/>
  <c r="M34" i="1"/>
  <c r="L34" i="1"/>
  <c r="I34" i="1"/>
  <c r="H34" i="1"/>
  <c r="E34" i="1"/>
  <c r="D34" i="1"/>
  <c r="Z33" i="1"/>
  <c r="AB33" i="1" s="1"/>
  <c r="Y33" i="1"/>
  <c r="X33" i="1"/>
  <c r="U33" i="1"/>
  <c r="T33" i="1"/>
  <c r="N33" i="1"/>
  <c r="M33" i="1"/>
  <c r="J33" i="1"/>
  <c r="I33" i="1"/>
  <c r="H33" i="1"/>
  <c r="E33" i="1"/>
  <c r="D33" i="1"/>
  <c r="AC32" i="1"/>
  <c r="AB32" i="1"/>
  <c r="Y32" i="1"/>
  <c r="X32" i="1"/>
  <c r="U32" i="1"/>
  <c r="T32" i="1"/>
  <c r="Q32" i="1"/>
  <c r="P32" i="1"/>
  <c r="M32" i="1"/>
  <c r="L32" i="1"/>
  <c r="I32" i="1"/>
  <c r="H32" i="1"/>
  <c r="B32" i="1"/>
  <c r="Z31" i="1"/>
  <c r="Y31" i="1"/>
  <c r="X31" i="1"/>
  <c r="U31" i="1"/>
  <c r="T31" i="1"/>
  <c r="Q31" i="1"/>
  <c r="P31" i="1"/>
  <c r="M31" i="1"/>
  <c r="L31" i="1"/>
  <c r="I31" i="1"/>
  <c r="H31" i="1"/>
  <c r="E31" i="1"/>
  <c r="D31" i="1"/>
  <c r="AA28" i="1"/>
  <c r="W28" i="1"/>
  <c r="S28" i="1"/>
  <c r="O28" i="1"/>
  <c r="K28" i="1"/>
  <c r="G28" i="1"/>
  <c r="AC27" i="1"/>
  <c r="AB27" i="1"/>
  <c r="Y27" i="1"/>
  <c r="X27" i="1"/>
  <c r="U27" i="1"/>
  <c r="T27" i="1"/>
  <c r="Q27" i="1"/>
  <c r="P27" i="1"/>
  <c r="M27" i="1"/>
  <c r="L27" i="1"/>
  <c r="I27" i="1"/>
  <c r="H27" i="1"/>
  <c r="B27" i="1"/>
  <c r="AC26" i="1"/>
  <c r="AB26" i="1"/>
  <c r="Y26" i="1"/>
  <c r="X26" i="1"/>
  <c r="U26" i="1"/>
  <c r="T26" i="1"/>
  <c r="Q26" i="1"/>
  <c r="P26" i="1"/>
  <c r="M26" i="1"/>
  <c r="L26" i="1"/>
  <c r="G26" i="1"/>
  <c r="F26" i="1"/>
  <c r="H26" i="1" s="1"/>
  <c r="E26" i="1"/>
  <c r="D26" i="1"/>
  <c r="AC25" i="1"/>
  <c r="AB25" i="1"/>
  <c r="Y25" i="1"/>
  <c r="X25" i="1"/>
  <c r="U25" i="1"/>
  <c r="T25" i="1"/>
  <c r="Q25" i="1"/>
  <c r="P25" i="1"/>
  <c r="J25" i="1"/>
  <c r="L25" i="1" s="1"/>
  <c r="F25" i="1"/>
  <c r="I25" i="1" s="1"/>
  <c r="E25" i="1"/>
  <c r="D25" i="1"/>
  <c r="AA24" i="1"/>
  <c r="Z24" i="1"/>
  <c r="AB24" i="1" s="1"/>
  <c r="Y24" i="1"/>
  <c r="X24" i="1"/>
  <c r="Q24" i="1"/>
  <c r="P24" i="1"/>
  <c r="M24" i="1"/>
  <c r="L24" i="1"/>
  <c r="F24" i="1"/>
  <c r="H24" i="1" s="1"/>
  <c r="B24" i="1"/>
  <c r="AC23" i="1"/>
  <c r="AB23" i="1"/>
  <c r="Y23" i="1"/>
  <c r="X23" i="1"/>
  <c r="U23" i="1"/>
  <c r="T23" i="1"/>
  <c r="N23" i="1"/>
  <c r="P23" i="1" s="1"/>
  <c r="J23" i="1"/>
  <c r="L23" i="1" s="1"/>
  <c r="I23" i="1"/>
  <c r="H23" i="1"/>
  <c r="B23" i="1"/>
  <c r="Z22" i="1"/>
  <c r="Y22" i="1"/>
  <c r="X22" i="1"/>
  <c r="U22" i="1"/>
  <c r="T22" i="1"/>
  <c r="Q22" i="1"/>
  <c r="P22" i="1"/>
  <c r="M22" i="1"/>
  <c r="L22" i="1"/>
  <c r="I22" i="1"/>
  <c r="H22" i="1"/>
  <c r="E22" i="1"/>
  <c r="D22" i="1"/>
  <c r="AC21" i="1"/>
  <c r="AB21" i="1"/>
  <c r="W21" i="1"/>
  <c r="V21" i="1"/>
  <c r="U21" i="1"/>
  <c r="T21" i="1"/>
  <c r="Q21" i="1"/>
  <c r="P21" i="1"/>
  <c r="M21" i="1"/>
  <c r="L21" i="1"/>
  <c r="I21" i="1"/>
  <c r="H21" i="1"/>
  <c r="E21" i="1"/>
  <c r="D21" i="1"/>
  <c r="AC20" i="1"/>
  <c r="AB20" i="1"/>
  <c r="V20" i="1"/>
  <c r="U20" i="1"/>
  <c r="T20" i="1"/>
  <c r="Q20" i="1"/>
  <c r="P20" i="1"/>
  <c r="M20" i="1"/>
  <c r="L20" i="1"/>
  <c r="I20" i="1"/>
  <c r="H20" i="1"/>
  <c r="E20" i="1"/>
  <c r="D20" i="1"/>
  <c r="AC19" i="1"/>
  <c r="AB19" i="1"/>
  <c r="V19" i="1"/>
  <c r="U19" i="1"/>
  <c r="T19" i="1"/>
  <c r="Q19" i="1"/>
  <c r="P19" i="1"/>
  <c r="M19" i="1"/>
  <c r="L19" i="1"/>
  <c r="I19" i="1"/>
  <c r="H19" i="1"/>
  <c r="E19" i="1"/>
  <c r="D19" i="1"/>
  <c r="AC18" i="1"/>
  <c r="AB18" i="1"/>
  <c r="V18" i="1"/>
  <c r="U18" i="1"/>
  <c r="T18" i="1"/>
  <c r="Q18" i="1"/>
  <c r="P18" i="1"/>
  <c r="M18" i="1"/>
  <c r="L18" i="1"/>
  <c r="I18" i="1"/>
  <c r="H18" i="1"/>
  <c r="E18" i="1"/>
  <c r="D18" i="1"/>
  <c r="AC17" i="1"/>
  <c r="AB17" i="1"/>
  <c r="Y17" i="1"/>
  <c r="V17" i="1"/>
  <c r="X17" i="1" s="1"/>
  <c r="U17" i="1"/>
  <c r="T17" i="1"/>
  <c r="Q17" i="1"/>
  <c r="P17" i="1"/>
  <c r="M17" i="1"/>
  <c r="L17" i="1"/>
  <c r="F17" i="1"/>
  <c r="E17" i="1"/>
  <c r="D17" i="1"/>
  <c r="AE16" i="1"/>
  <c r="AC16" i="1"/>
  <c r="AB16" i="1"/>
  <c r="Y16" i="1"/>
  <c r="X16" i="1"/>
  <c r="U16" i="1"/>
  <c r="T16" i="1"/>
  <c r="Q16" i="1"/>
  <c r="P16" i="1"/>
  <c r="M16" i="1"/>
  <c r="L16" i="1"/>
  <c r="I16" i="1"/>
  <c r="H16" i="1"/>
  <c r="B16" i="1"/>
  <c r="E16" i="1" s="1"/>
  <c r="AD15" i="1"/>
  <c r="AC15" i="1"/>
  <c r="AB15" i="1"/>
  <c r="Y15" i="1"/>
  <c r="X15" i="1"/>
  <c r="Q15" i="1"/>
  <c r="P15" i="1"/>
  <c r="M15" i="1"/>
  <c r="L15" i="1"/>
  <c r="I15" i="1"/>
  <c r="H15" i="1"/>
  <c r="E15" i="1"/>
  <c r="D15" i="1"/>
  <c r="Y14" i="1"/>
  <c r="X14" i="1"/>
  <c r="U14" i="1"/>
  <c r="T14" i="1"/>
  <c r="Q14" i="1"/>
  <c r="P14" i="1"/>
  <c r="M14" i="1"/>
  <c r="L14" i="1"/>
  <c r="I14" i="1"/>
  <c r="H14" i="1"/>
  <c r="E14" i="1"/>
  <c r="D14" i="1"/>
  <c r="AE13" i="1"/>
  <c r="Z13" i="1"/>
  <c r="AC13" i="1" s="1"/>
  <c r="Y13" i="1"/>
  <c r="X13" i="1"/>
  <c r="U13" i="1"/>
  <c r="T13" i="1"/>
  <c r="Q13" i="1"/>
  <c r="P13" i="1"/>
  <c r="M13" i="1"/>
  <c r="L13" i="1"/>
  <c r="I13" i="1"/>
  <c r="H13" i="1"/>
  <c r="E13" i="1"/>
  <c r="D13" i="1"/>
  <c r="Z12" i="1"/>
  <c r="Y12" i="1"/>
  <c r="X12" i="1"/>
  <c r="U12" i="1"/>
  <c r="T12" i="1"/>
  <c r="Q12" i="1"/>
  <c r="P12" i="1"/>
  <c r="M12" i="1"/>
  <c r="L12" i="1"/>
  <c r="I12" i="1"/>
  <c r="H12" i="1"/>
  <c r="E12" i="1"/>
  <c r="D12" i="1"/>
  <c r="AC11" i="1"/>
  <c r="AB11" i="1"/>
  <c r="Y11" i="1"/>
  <c r="X11" i="1"/>
  <c r="U11" i="1"/>
  <c r="T11" i="1"/>
  <c r="Q11" i="1"/>
  <c r="N11" i="1"/>
  <c r="P11" i="1" s="1"/>
  <c r="M11" i="1"/>
  <c r="L11" i="1"/>
  <c r="I11" i="1"/>
  <c r="H11" i="1"/>
  <c r="B11" i="1"/>
  <c r="AC10" i="1"/>
  <c r="AB10" i="1"/>
  <c r="Y10" i="1"/>
  <c r="X10" i="1"/>
  <c r="R10" i="1"/>
  <c r="T10" i="1" s="1"/>
  <c r="N10" i="1"/>
  <c r="N28" i="1" s="1"/>
  <c r="M10" i="1"/>
  <c r="L10" i="1"/>
  <c r="I10" i="1"/>
  <c r="H10" i="1"/>
  <c r="E10" i="1"/>
  <c r="D10" i="1"/>
  <c r="AE9" i="1"/>
  <c r="AG9" i="1" s="1"/>
  <c r="AC9" i="1"/>
  <c r="AB9" i="1"/>
  <c r="Y9" i="1"/>
  <c r="V9" i="1"/>
  <c r="V28" i="1" s="1"/>
  <c r="U9" i="1"/>
  <c r="T9" i="1"/>
  <c r="Q9" i="1"/>
  <c r="P9" i="1"/>
  <c r="M9" i="1"/>
  <c r="L9" i="1"/>
  <c r="I9" i="1"/>
  <c r="H9" i="1"/>
  <c r="E9" i="1"/>
  <c r="D9" i="1"/>
  <c r="AC8" i="1"/>
  <c r="AB8" i="1"/>
  <c r="Y8" i="1"/>
  <c r="X8" i="1"/>
  <c r="U8" i="1"/>
  <c r="T8" i="1"/>
  <c r="Q8" i="1"/>
  <c r="P8" i="1"/>
  <c r="J8" i="1"/>
  <c r="L8" i="1" s="1"/>
  <c r="I8" i="1"/>
  <c r="H8" i="1"/>
  <c r="B8" i="1"/>
  <c r="AC7" i="1"/>
  <c r="AB7" i="1"/>
  <c r="Y7" i="1"/>
  <c r="X7" i="1"/>
  <c r="U7" i="1"/>
  <c r="T7" i="1"/>
  <c r="Q7" i="1"/>
  <c r="P7" i="1"/>
  <c r="M7" i="1"/>
  <c r="L7" i="1"/>
  <c r="I7" i="1"/>
  <c r="H7" i="1"/>
  <c r="B7" i="1"/>
  <c r="F28" i="1" l="1"/>
  <c r="AC35" i="1"/>
  <c r="P36" i="1"/>
  <c r="AC37" i="1"/>
  <c r="AC53" i="1"/>
  <c r="Q64" i="1"/>
  <c r="E71" i="1"/>
  <c r="U79" i="1"/>
  <c r="Q82" i="1"/>
  <c r="Y82" i="1"/>
  <c r="M83" i="1"/>
  <c r="U83" i="1"/>
  <c r="AC83" i="1"/>
  <c r="U10" i="1"/>
  <c r="I24" i="1"/>
  <c r="AC24" i="1"/>
  <c r="AD26" i="1"/>
  <c r="Q36" i="1"/>
  <c r="M38" i="1"/>
  <c r="AC38" i="1"/>
  <c r="Y51" i="1"/>
  <c r="M67" i="1"/>
  <c r="AD71" i="1"/>
  <c r="U76" i="1"/>
  <c r="AC76" i="1"/>
  <c r="Q78" i="1"/>
  <c r="Y78" i="1"/>
  <c r="M80" i="1"/>
  <c r="U80" i="1"/>
  <c r="AC80" i="1"/>
  <c r="M84" i="1"/>
  <c r="U84" i="1"/>
  <c r="Q23" i="1"/>
  <c r="U53" i="1"/>
  <c r="U59" i="1"/>
  <c r="AC59" i="1"/>
  <c r="Y64" i="1"/>
  <c r="M66" i="1"/>
  <c r="I77" i="1"/>
  <c r="M79" i="1"/>
  <c r="AC79" i="1"/>
  <c r="I82" i="1"/>
  <c r="M8" i="1"/>
  <c r="M23" i="1"/>
  <c r="I26" i="1"/>
  <c r="AE26" i="1"/>
  <c r="AG26" i="1" s="1"/>
  <c r="J28" i="1"/>
  <c r="R28" i="1"/>
  <c r="U28" i="1" s="1"/>
  <c r="Z28" i="1"/>
  <c r="AC33" i="1"/>
  <c r="Q53" i="1"/>
  <c r="Y53" i="1"/>
  <c r="U64" i="1"/>
  <c r="AC64" i="1"/>
  <c r="Q66" i="1"/>
  <c r="Y66" i="1"/>
  <c r="AC70" i="1"/>
  <c r="AE71" i="1"/>
  <c r="AG71" i="1" s="1"/>
  <c r="Q72" i="1"/>
  <c r="M77" i="1"/>
  <c r="I79" i="1"/>
  <c r="Q79" i="1"/>
  <c r="Y79" i="1"/>
  <c r="M82" i="1"/>
  <c r="U82" i="1"/>
  <c r="AC82" i="1"/>
  <c r="I83" i="1"/>
  <c r="Q83" i="1"/>
  <c r="Y83" i="1"/>
  <c r="AE85" i="1"/>
  <c r="I85" i="1"/>
  <c r="AD85" i="1"/>
  <c r="D85" i="1"/>
  <c r="AE84" i="1"/>
  <c r="I84" i="1"/>
  <c r="AD84" i="1"/>
  <c r="H84" i="1"/>
  <c r="E83" i="1"/>
  <c r="AE83" i="1"/>
  <c r="AD83" i="1"/>
  <c r="D83" i="1"/>
  <c r="E82" i="1"/>
  <c r="AE82" i="1"/>
  <c r="AD82" i="1"/>
  <c r="D82" i="1"/>
  <c r="M81" i="1"/>
  <c r="L81" i="1"/>
  <c r="I81" i="1"/>
  <c r="AE81" i="1"/>
  <c r="AD81" i="1"/>
  <c r="H81" i="1"/>
  <c r="E80" i="1"/>
  <c r="AE80" i="1"/>
  <c r="D80" i="1"/>
  <c r="AD80" i="1"/>
  <c r="AF80" i="1" s="1"/>
  <c r="AE79" i="1"/>
  <c r="E79" i="1"/>
  <c r="AD79" i="1"/>
  <c r="AF79" i="1" s="1"/>
  <c r="D79" i="1"/>
  <c r="AE78" i="1"/>
  <c r="E78" i="1"/>
  <c r="AD78" i="1"/>
  <c r="AF78" i="1" s="1"/>
  <c r="D78" i="1"/>
  <c r="AE77" i="1"/>
  <c r="E77" i="1"/>
  <c r="AD77" i="1"/>
  <c r="AF77" i="1" s="1"/>
  <c r="D77" i="1"/>
  <c r="Q76" i="1"/>
  <c r="AE76" i="1"/>
  <c r="P76" i="1"/>
  <c r="AD76" i="1"/>
  <c r="AE75" i="1"/>
  <c r="AC75" i="1"/>
  <c r="AD75" i="1"/>
  <c r="AB75" i="1"/>
  <c r="AD74" i="1"/>
  <c r="AF74" i="1" s="1"/>
  <c r="D74" i="1"/>
  <c r="T73" i="1"/>
  <c r="AD73" i="1"/>
  <c r="E73" i="1"/>
  <c r="D73" i="1"/>
  <c r="AE73" i="1"/>
  <c r="AC72" i="1"/>
  <c r="AE72" i="1"/>
  <c r="AD72" i="1"/>
  <c r="D72" i="1"/>
  <c r="AE70" i="1"/>
  <c r="Q70" i="1"/>
  <c r="AD70" i="1"/>
  <c r="P70" i="1"/>
  <c r="AC69" i="1"/>
  <c r="AE69" i="1"/>
  <c r="AB69" i="1"/>
  <c r="AD69" i="1"/>
  <c r="AF69" i="1" s="1"/>
  <c r="AD68" i="1"/>
  <c r="AF68" i="1" s="1"/>
  <c r="P68" i="1"/>
  <c r="E67" i="1"/>
  <c r="AE67" i="1"/>
  <c r="AD67" i="1"/>
  <c r="AF67" i="1" s="1"/>
  <c r="D67" i="1"/>
  <c r="I66" i="1"/>
  <c r="AE66" i="1"/>
  <c r="AD66" i="1"/>
  <c r="AF66" i="1" s="1"/>
  <c r="H66" i="1"/>
  <c r="U65" i="1"/>
  <c r="AE65" i="1"/>
  <c r="T65" i="1"/>
  <c r="AD65" i="1"/>
  <c r="M64" i="1"/>
  <c r="L64" i="1"/>
  <c r="I64" i="1"/>
  <c r="H64" i="1"/>
  <c r="AE64" i="1"/>
  <c r="E64" i="1"/>
  <c r="AD64" i="1"/>
  <c r="AF64" i="1" s="1"/>
  <c r="D64" i="1"/>
  <c r="AE63" i="1"/>
  <c r="AC63" i="1"/>
  <c r="AD63" i="1"/>
  <c r="AB63" i="1"/>
  <c r="AE62" i="1"/>
  <c r="AC62" i="1"/>
  <c r="AB62" i="1"/>
  <c r="AD62" i="1"/>
  <c r="AF62" i="1" s="1"/>
  <c r="AB61" i="1"/>
  <c r="AD61" i="1"/>
  <c r="Y61" i="1"/>
  <c r="X61" i="1"/>
  <c r="T61" i="1"/>
  <c r="U61" i="1"/>
  <c r="AE61" i="1"/>
  <c r="AE60" i="1"/>
  <c r="AC60" i="1"/>
  <c r="AD60" i="1"/>
  <c r="AF60" i="1" s="1"/>
  <c r="AB60" i="1"/>
  <c r="Q59" i="1"/>
  <c r="AE59" i="1"/>
  <c r="H59" i="1"/>
  <c r="AD59" i="1"/>
  <c r="AE58" i="1"/>
  <c r="Y58" i="1"/>
  <c r="AD58" i="1"/>
  <c r="AF58" i="1" s="1"/>
  <c r="X58" i="1"/>
  <c r="AE57" i="1"/>
  <c r="Y57" i="1"/>
  <c r="AD57" i="1"/>
  <c r="AF57" i="1" s="1"/>
  <c r="X57" i="1"/>
  <c r="AE56" i="1"/>
  <c r="Y56" i="1"/>
  <c r="AD56" i="1"/>
  <c r="AF56" i="1" s="1"/>
  <c r="X56" i="1"/>
  <c r="AE55" i="1"/>
  <c r="Y55" i="1"/>
  <c r="X55" i="1"/>
  <c r="AD55" i="1"/>
  <c r="AF55" i="1" s="1"/>
  <c r="P54" i="1"/>
  <c r="AD54" i="1"/>
  <c r="AF54" i="1" s="1"/>
  <c r="L53" i="1"/>
  <c r="M53" i="1"/>
  <c r="G86" i="1"/>
  <c r="I53" i="1"/>
  <c r="AD53" i="1"/>
  <c r="H53" i="1"/>
  <c r="F86" i="1"/>
  <c r="E53" i="1"/>
  <c r="AE53" i="1"/>
  <c r="AG53" i="1" s="1"/>
  <c r="D53" i="1"/>
  <c r="X52" i="1"/>
  <c r="Y52" i="1"/>
  <c r="AE52" i="1"/>
  <c r="AD52" i="1"/>
  <c r="T52" i="1"/>
  <c r="AE51" i="1"/>
  <c r="M51" i="1"/>
  <c r="L51" i="1"/>
  <c r="AD51" i="1"/>
  <c r="D51" i="1"/>
  <c r="X50" i="1"/>
  <c r="AD50" i="1"/>
  <c r="Q50" i="1"/>
  <c r="P50" i="1"/>
  <c r="AE50" i="1"/>
  <c r="AE49" i="1"/>
  <c r="E49" i="1"/>
  <c r="AD49" i="1"/>
  <c r="D49" i="1"/>
  <c r="AD48" i="1"/>
  <c r="AF48" i="1" s="1"/>
  <c r="D48" i="1"/>
  <c r="U47" i="1"/>
  <c r="AE47" i="1"/>
  <c r="AD47" i="1"/>
  <c r="T47" i="1"/>
  <c r="Y46" i="1"/>
  <c r="X46" i="1"/>
  <c r="AE46" i="1"/>
  <c r="E46" i="1"/>
  <c r="AD46" i="1"/>
  <c r="D46" i="1"/>
  <c r="AE45" i="1"/>
  <c r="AC45" i="1"/>
  <c r="AB45" i="1"/>
  <c r="AD45" i="1"/>
  <c r="AC44" i="1"/>
  <c r="AE44" i="1"/>
  <c r="AB44" i="1"/>
  <c r="AD44" i="1"/>
  <c r="AF44" i="1" s="1"/>
  <c r="Q43" i="1"/>
  <c r="AE43" i="1"/>
  <c r="P43" i="1"/>
  <c r="AD43" i="1"/>
  <c r="AF43" i="1" s="1"/>
  <c r="AC42" i="1"/>
  <c r="AE42" i="1"/>
  <c r="AB42" i="1"/>
  <c r="AD42" i="1"/>
  <c r="AF42" i="1" s="1"/>
  <c r="AC41" i="1"/>
  <c r="AE41" i="1"/>
  <c r="AB41" i="1"/>
  <c r="AD41" i="1"/>
  <c r="AE40" i="1"/>
  <c r="AB40" i="1"/>
  <c r="AC40" i="1"/>
  <c r="U39" i="1"/>
  <c r="S86" i="1"/>
  <c r="U86" i="1" s="1"/>
  <c r="R86" i="1"/>
  <c r="T39" i="1"/>
  <c r="AE39" i="1"/>
  <c r="Q39" i="1"/>
  <c r="AD39" i="1"/>
  <c r="P39" i="1"/>
  <c r="V86" i="1"/>
  <c r="X38" i="1"/>
  <c r="AE38" i="1"/>
  <c r="E38" i="1"/>
  <c r="AD38" i="1"/>
  <c r="D38" i="1"/>
  <c r="K86" i="1"/>
  <c r="M37" i="1"/>
  <c r="AE37" i="1"/>
  <c r="D37" i="1"/>
  <c r="AD37" i="1"/>
  <c r="AC36" i="1"/>
  <c r="AE36" i="1"/>
  <c r="Q35" i="1"/>
  <c r="AE35" i="1"/>
  <c r="AD35" i="1"/>
  <c r="P35" i="1"/>
  <c r="AB34" i="1"/>
  <c r="AD34" i="1"/>
  <c r="W86" i="1"/>
  <c r="Y34" i="1"/>
  <c r="AE34" i="1"/>
  <c r="AG34" i="1" s="1"/>
  <c r="Q33" i="1"/>
  <c r="AE33" i="1"/>
  <c r="O86" i="1"/>
  <c r="N86" i="1"/>
  <c r="P33" i="1"/>
  <c r="J86" i="1"/>
  <c r="L33" i="1"/>
  <c r="AD33" i="1"/>
  <c r="AF33" i="1" s="1"/>
  <c r="C86" i="1"/>
  <c r="E32" i="1"/>
  <c r="AE32" i="1"/>
  <c r="B86" i="1"/>
  <c r="AD32" i="1"/>
  <c r="D32" i="1"/>
  <c r="AA86" i="1"/>
  <c r="AE31" i="1"/>
  <c r="AG31" i="1" s="1"/>
  <c r="AC31" i="1"/>
  <c r="AD31" i="1"/>
  <c r="Z86" i="1"/>
  <c r="AB31" i="1"/>
  <c r="AC28" i="1"/>
  <c r="AA29" i="1"/>
  <c r="Z29" i="1"/>
  <c r="AB28" i="1"/>
  <c r="W29" i="1"/>
  <c r="Y28" i="1"/>
  <c r="X28" i="1"/>
  <c r="V29" i="1"/>
  <c r="S29" i="1"/>
  <c r="Q28" i="1"/>
  <c r="O29" i="1"/>
  <c r="N29" i="1"/>
  <c r="P28" i="1"/>
  <c r="K29" i="1"/>
  <c r="M28" i="1"/>
  <c r="J29" i="1"/>
  <c r="L28" i="1"/>
  <c r="I28" i="1"/>
  <c r="G29" i="1"/>
  <c r="F29" i="1"/>
  <c r="H28" i="1"/>
  <c r="E27" i="1"/>
  <c r="AE27" i="1"/>
  <c r="C28" i="1"/>
  <c r="AD27" i="1"/>
  <c r="AF27" i="1" s="1"/>
  <c r="B28" i="1"/>
  <c r="D27" i="1"/>
  <c r="M25" i="1"/>
  <c r="AE25" i="1"/>
  <c r="AG25" i="1" s="1"/>
  <c r="H25" i="1"/>
  <c r="AD25" i="1"/>
  <c r="U24" i="1"/>
  <c r="T24" i="1"/>
  <c r="AE24" i="1"/>
  <c r="E24" i="1"/>
  <c r="AD24" i="1"/>
  <c r="AF24" i="1" s="1"/>
  <c r="D24" i="1"/>
  <c r="E23" i="1"/>
  <c r="AE23" i="1"/>
  <c r="D23" i="1"/>
  <c r="AD23" i="1"/>
  <c r="AC22" i="1"/>
  <c r="AE22" i="1"/>
  <c r="AB22" i="1"/>
  <c r="AD22" i="1"/>
  <c r="AF22" i="1" s="1"/>
  <c r="Y21" i="1"/>
  <c r="AE21" i="1"/>
  <c r="X21" i="1"/>
  <c r="AD21" i="1"/>
  <c r="AF21" i="1" s="1"/>
  <c r="Y20" i="1"/>
  <c r="AE20" i="1"/>
  <c r="AD20" i="1"/>
  <c r="AF20" i="1" s="1"/>
  <c r="X20" i="1"/>
  <c r="AE19" i="1"/>
  <c r="Y19" i="1"/>
  <c r="X19" i="1"/>
  <c r="AD19" i="1"/>
  <c r="AE18" i="1"/>
  <c r="Y18" i="1"/>
  <c r="X18" i="1"/>
  <c r="AD18" i="1"/>
  <c r="AF18" i="1" s="1"/>
  <c r="I17" i="1"/>
  <c r="AE17" i="1"/>
  <c r="AD17" i="1"/>
  <c r="AF17" i="1" s="1"/>
  <c r="H17" i="1"/>
  <c r="AD16" i="1"/>
  <c r="AF16" i="1" s="1"/>
  <c r="D16" i="1"/>
  <c r="U15" i="1"/>
  <c r="AE15" i="1"/>
  <c r="T15" i="1"/>
  <c r="AC14" i="1"/>
  <c r="AE14" i="1"/>
  <c r="AD14" i="1"/>
  <c r="AF14" i="1" s="1"/>
  <c r="AB14" i="1"/>
  <c r="AD13" i="1"/>
  <c r="AF13" i="1" s="1"/>
  <c r="AB13" i="1"/>
  <c r="AE12" i="1"/>
  <c r="AC12" i="1"/>
  <c r="AD12" i="1"/>
  <c r="AB12" i="1"/>
  <c r="AE11" i="1"/>
  <c r="E11" i="1"/>
  <c r="D11" i="1"/>
  <c r="AD11" i="1"/>
  <c r="Q10" i="1"/>
  <c r="AE10" i="1"/>
  <c r="P10" i="1"/>
  <c r="AD10" i="1"/>
  <c r="AF10" i="1" s="1"/>
  <c r="X9" i="1"/>
  <c r="AD9" i="1"/>
  <c r="AF9" i="1" s="1"/>
  <c r="AE8" i="1"/>
  <c r="E8" i="1"/>
  <c r="AD8" i="1"/>
  <c r="AF8" i="1" s="1"/>
  <c r="D8" i="1"/>
  <c r="E7" i="1"/>
  <c r="AE7" i="1"/>
  <c r="AD7" i="1"/>
  <c r="AF7" i="1" s="1"/>
  <c r="D7" i="1"/>
  <c r="R29" i="1" l="1"/>
  <c r="AF45" i="1"/>
  <c r="AG50" i="1"/>
  <c r="AG73" i="1"/>
  <c r="AG48" i="1"/>
  <c r="AG16" i="1"/>
  <c r="AF71" i="1"/>
  <c r="AG68" i="1"/>
  <c r="T28" i="1"/>
  <c r="Q86" i="1"/>
  <c r="AF12" i="1"/>
  <c r="AG20" i="1"/>
  <c r="AG22" i="1"/>
  <c r="AF25" i="1"/>
  <c r="AF31" i="1"/>
  <c r="Y86" i="1"/>
  <c r="AF35" i="1"/>
  <c r="AF46" i="1"/>
  <c r="AG51" i="1"/>
  <c r="AF70" i="1"/>
  <c r="AF72" i="1"/>
  <c r="AG76" i="1"/>
  <c r="AG13" i="1"/>
  <c r="AG19" i="1"/>
  <c r="AF32" i="1"/>
  <c r="AF37" i="1"/>
  <c r="AG38" i="1"/>
  <c r="AF39" i="1"/>
  <c r="AF65" i="1"/>
  <c r="AF83" i="1"/>
  <c r="AF84" i="1"/>
  <c r="AG54" i="1"/>
  <c r="AF26" i="1"/>
  <c r="AF38" i="1"/>
  <c r="AF52" i="1"/>
  <c r="AF82" i="1"/>
  <c r="AF59" i="1"/>
  <c r="L86" i="1"/>
  <c r="AF85" i="1"/>
  <c r="AF49" i="1"/>
  <c r="AF47" i="1"/>
  <c r="AF63" i="1"/>
  <c r="AF75" i="1"/>
  <c r="AF61" i="1"/>
  <c r="AB86" i="1"/>
  <c r="AF41" i="1"/>
  <c r="AF81" i="1"/>
  <c r="H86" i="1"/>
  <c r="AF23" i="1"/>
  <c r="AF11" i="1"/>
  <c r="AF40" i="1"/>
  <c r="AG40" i="1"/>
  <c r="AF36" i="1"/>
  <c r="AG36" i="1"/>
  <c r="AE86" i="1"/>
  <c r="E86" i="1"/>
  <c r="D86" i="1"/>
  <c r="AD86" i="1"/>
  <c r="AC29" i="1"/>
  <c r="AA87" i="1"/>
  <c r="AB29" i="1"/>
  <c r="Z87" i="1"/>
  <c r="Y29" i="1"/>
  <c r="W87" i="1"/>
  <c r="X29" i="1"/>
  <c r="V87" i="1"/>
  <c r="U29" i="1"/>
  <c r="S87" i="1"/>
  <c r="R87" i="1"/>
  <c r="T29" i="1"/>
  <c r="Q29" i="1"/>
  <c r="O87" i="1"/>
  <c r="N87" i="1"/>
  <c r="N88" i="1" s="1"/>
  <c r="P29" i="1"/>
  <c r="M29" i="1"/>
  <c r="K87" i="1"/>
  <c r="J87" i="1"/>
  <c r="L29" i="1"/>
  <c r="I29" i="1"/>
  <c r="G87" i="1"/>
  <c r="F87" i="1"/>
  <c r="H29" i="1"/>
  <c r="E28" i="1"/>
  <c r="AE28" i="1"/>
  <c r="C29" i="1"/>
  <c r="D28" i="1"/>
  <c r="AD28" i="1"/>
  <c r="B29" i="1"/>
  <c r="AF15" i="1"/>
  <c r="AG15" i="1"/>
  <c r="AG27" i="1"/>
  <c r="AF73" i="1"/>
  <c r="AG72" i="1"/>
  <c r="AG70" i="1"/>
  <c r="AG69" i="1"/>
  <c r="AG67" i="1"/>
  <c r="AG66" i="1"/>
  <c r="AG65" i="1"/>
  <c r="AG64" i="1"/>
  <c r="AG63" i="1"/>
  <c r="AG62" i="1"/>
  <c r="AG58" i="1"/>
  <c r="AG57" i="1"/>
  <c r="I86" i="1"/>
  <c r="T86" i="1"/>
  <c r="AG37" i="1"/>
  <c r="AF34" i="1"/>
  <c r="P86" i="1"/>
  <c r="AG23" i="1"/>
  <c r="AG61" i="1"/>
  <c r="AG60" i="1"/>
  <c r="AG59" i="1"/>
  <c r="AG56" i="1"/>
  <c r="AG55" i="1"/>
  <c r="AF53" i="1"/>
  <c r="AF51" i="1"/>
  <c r="AF50" i="1"/>
  <c r="AG49" i="1"/>
  <c r="AG47" i="1"/>
  <c r="AG46" i="1"/>
  <c r="AG45" i="1"/>
  <c r="AG44" i="1"/>
  <c r="AG43" i="1"/>
  <c r="AG42" i="1"/>
  <c r="AG41" i="1"/>
  <c r="AF19" i="1"/>
  <c r="AG18" i="1"/>
  <c r="AG17" i="1"/>
  <c r="AG14" i="1"/>
  <c r="AG12" i="1"/>
  <c r="AG11" i="1"/>
  <c r="AG10" i="1"/>
  <c r="AG8" i="1"/>
  <c r="AG7" i="1"/>
  <c r="AG52" i="1"/>
  <c r="AG39" i="1"/>
  <c r="X86" i="1"/>
  <c r="AG32" i="1"/>
  <c r="AC86" i="1"/>
  <c r="AG21" i="1"/>
  <c r="AG35" i="1"/>
  <c r="AG24" i="1"/>
  <c r="AG80" i="1"/>
  <c r="AG77" i="1"/>
  <c r="AF76" i="1"/>
  <c r="AG33" i="1"/>
  <c r="AG85" i="1"/>
  <c r="AG84" i="1"/>
  <c r="AG83" i="1"/>
  <c r="AG82" i="1"/>
  <c r="AG81" i="1"/>
  <c r="AG79" i="1"/>
  <c r="AG78" i="1"/>
  <c r="AG75" i="1"/>
  <c r="M86" i="1"/>
  <c r="AF86" i="1" l="1"/>
  <c r="AF28" i="1"/>
  <c r="AC87" i="1"/>
  <c r="AA88" i="1"/>
  <c r="AB87" i="1"/>
  <c r="Z88" i="1"/>
  <c r="Y87" i="1"/>
  <c r="W88" i="1"/>
  <c r="X87" i="1"/>
  <c r="V88" i="1"/>
  <c r="U87" i="1"/>
  <c r="S88" i="1"/>
  <c r="T87" i="1"/>
  <c r="R88" i="1"/>
  <c r="Q87" i="1"/>
  <c r="O88" i="1"/>
  <c r="P87" i="1"/>
  <c r="M87" i="1"/>
  <c r="K88" i="1"/>
  <c r="L87" i="1"/>
  <c r="J88" i="1"/>
  <c r="I87" i="1"/>
  <c r="G88" i="1"/>
  <c r="I88" i="1" s="1"/>
  <c r="H87" i="1"/>
  <c r="F88" i="1"/>
  <c r="E29" i="1"/>
  <c r="AE29" i="1"/>
  <c r="C87" i="1"/>
  <c r="AD29" i="1"/>
  <c r="B87" i="1"/>
  <c r="D29" i="1"/>
  <c r="AG28" i="1"/>
  <c r="AG86" i="1"/>
  <c r="AG29" i="1" l="1"/>
  <c r="H88" i="1"/>
  <c r="L88" i="1"/>
  <c r="T88" i="1"/>
  <c r="AB88" i="1"/>
  <c r="X88" i="1"/>
  <c r="AF29" i="1"/>
  <c r="P88" i="1"/>
  <c r="E87" i="1"/>
  <c r="AE87" i="1"/>
  <c r="C88" i="1"/>
  <c r="D87" i="1"/>
  <c r="AD87" i="1"/>
  <c r="B88" i="1"/>
  <c r="AC88" i="1"/>
  <c r="Y88" i="1"/>
  <c r="U88" i="1"/>
  <c r="Q88" i="1"/>
  <c r="M88" i="1"/>
  <c r="AF87" i="1" l="1"/>
  <c r="E88" i="1"/>
  <c r="AE88" i="1"/>
  <c r="D88" i="1"/>
  <c r="AD88" i="1"/>
  <c r="AG87" i="1"/>
  <c r="AF88" i="1" l="1"/>
  <c r="AG88" i="1"/>
</calcChain>
</file>

<file path=xl/sharedStrings.xml><?xml version="1.0" encoding="utf-8"?>
<sst xmlns="http://schemas.openxmlformats.org/spreadsheetml/2006/main" count="127" uniqueCount="99">
  <si>
    <t>1-Youth</t>
  </si>
  <si>
    <t>2-Tournament</t>
  </si>
  <si>
    <t>3-Adult</t>
  </si>
  <si>
    <t>4-Referee</t>
  </si>
  <si>
    <t>5-Coaching</t>
  </si>
  <si>
    <t>6-ODP</t>
  </si>
  <si>
    <t>7-Admin</t>
  </si>
  <si>
    <t>TOTAL</t>
  </si>
  <si>
    <t>Actual</t>
  </si>
  <si>
    <t>Budget</t>
  </si>
  <si>
    <t>over Budget</t>
  </si>
  <si>
    <t>% of Budget</t>
  </si>
  <si>
    <t>Revenue</t>
  </si>
  <si>
    <t xml:space="preserve">   400120 Background Check Income</t>
  </si>
  <si>
    <t xml:space="preserve">   400125 Affiliation Income</t>
  </si>
  <si>
    <t xml:space="preserve">   400150 Contribution Income</t>
  </si>
  <si>
    <t xml:space="preserve">   400200 Course/Training Income</t>
  </si>
  <si>
    <t xml:space="preserve">   400250 Fees/Fines Income</t>
  </si>
  <si>
    <t xml:space="preserve">   400350 Interest Income</t>
  </si>
  <si>
    <t xml:space="preserve">   400355 Unrealized Gain / Loss on Investment</t>
  </si>
  <si>
    <t xml:space="preserve">   400375 International Game Income</t>
  </si>
  <si>
    <t xml:space="preserve">   400390 ITG Grant Income - Coaches</t>
  </si>
  <si>
    <t xml:space="preserve">   400393 ITG Grant Income - GOTB</t>
  </si>
  <si>
    <t xml:space="preserve">   400500 Merchandise Sales Income</t>
  </si>
  <si>
    <t xml:space="preserve">   400550 ODP Event Income</t>
  </si>
  <si>
    <t xml:space="preserve">   400551 ODP Rebate Income</t>
  </si>
  <si>
    <t xml:space="preserve">   400552 ODP Training Income</t>
  </si>
  <si>
    <t xml:space="preserve">   400553 ODP Tryout Fee Income</t>
  </si>
  <si>
    <t xml:space="preserve">   400600 Other/Misc Income</t>
  </si>
  <si>
    <t xml:space="preserve">   400650 Registration Income</t>
  </si>
  <si>
    <t xml:space="preserve">   400700 Sponsorship Income</t>
  </si>
  <si>
    <t xml:space="preserve">   400750 Tournament Income</t>
  </si>
  <si>
    <t xml:space="preserve">   400760 Tournament Sanctioning Income</t>
  </si>
  <si>
    <t xml:space="preserve">   400800 Travel Permission/Transfer Income</t>
  </si>
  <si>
    <t>Total Revenue</t>
  </si>
  <si>
    <t>Gross Profit</t>
  </si>
  <si>
    <t>Expenditures</t>
  </si>
  <si>
    <t xml:space="preserve">   500100 AGM Expense</t>
  </si>
  <si>
    <t xml:space="preserve">   500120 Background Checks Exp</t>
  </si>
  <si>
    <t xml:space="preserve">   500150 Bank Fees/Credit Card Exp</t>
  </si>
  <si>
    <t xml:space="preserve">   500225 Employee Bonus Exp</t>
  </si>
  <si>
    <t xml:space="preserve">   500250 Computer Expense</t>
  </si>
  <si>
    <t xml:space="preserve">   500275 Computer Website/Network Support</t>
  </si>
  <si>
    <t xml:space="preserve">   500300 Contribution/Donation Expense</t>
  </si>
  <si>
    <t xml:space="preserve">   500350 Conventions &amp; Meetings Expense</t>
  </si>
  <si>
    <t xml:space="preserve">   500400 Course/Training Expense</t>
  </si>
  <si>
    <t xml:space="preserve">   500450 Depreciation Expense</t>
  </si>
  <si>
    <t xml:space="preserve">   500500 Equip Lease/Purch Exp</t>
  </si>
  <si>
    <t xml:space="preserve">   500600 Facilities Operation Exp</t>
  </si>
  <si>
    <t xml:space="preserve">   500700 Instructor Fees Exp</t>
  </si>
  <si>
    <t xml:space="preserve">   500800 Insurance Exp - Corporation</t>
  </si>
  <si>
    <t xml:space="preserve">   500820 Insurance Exp - Empl Benefits</t>
  </si>
  <si>
    <t xml:space="preserve">   500840 Insurance Membership - Youth</t>
  </si>
  <si>
    <t xml:space="preserve">   500870 ITG Grant Exp - Coaches</t>
  </si>
  <si>
    <t xml:space="preserve">   500873 ITG Grant Exp - GOTB</t>
  </si>
  <si>
    <t xml:space="preserve">   500875 League Development Exp</t>
  </si>
  <si>
    <t xml:space="preserve">   500900 Legal &amp; Accounting Exp</t>
  </si>
  <si>
    <t xml:space="preserve">   500975 Marketing &amp; Advertising Exp</t>
  </si>
  <si>
    <t xml:space="preserve">   600000 Membership Fees</t>
  </si>
  <si>
    <t xml:space="preserve">   600100 Merchandise Expense</t>
  </si>
  <si>
    <t xml:space="preserve">   600110 Merch Exp - Ref Starter Kits</t>
  </si>
  <si>
    <t xml:space="preserve">   600175 ODP Expense - Events</t>
  </si>
  <si>
    <t xml:space="preserve">   600176 ODP Expense - Fields</t>
  </si>
  <si>
    <t xml:space="preserve">   600177 ODP Staff Expense - Gear</t>
  </si>
  <si>
    <t xml:space="preserve">   600178 ODP Training Exp - Staff</t>
  </si>
  <si>
    <t xml:space="preserve">   600200 Office Supplies &amp; Expense</t>
  </si>
  <si>
    <t xml:space="preserve">   600201 Office Staff Expenses</t>
  </si>
  <si>
    <t xml:space="preserve">   600250 Other/Misc Expenses</t>
  </si>
  <si>
    <t xml:space="preserve">   600280 Payroll Processing Expense</t>
  </si>
  <si>
    <t xml:space="preserve">   600300 Payroll Tax Expense</t>
  </si>
  <si>
    <t xml:space="preserve">   600350 Postage/Shipping Expense</t>
  </si>
  <si>
    <t xml:space="preserve">   600400 Printing Expense</t>
  </si>
  <si>
    <t xml:space="preserve">   600450 Referee Assignor Expense</t>
  </si>
  <si>
    <t xml:space="preserve">   600500 Registration Expense</t>
  </si>
  <si>
    <t xml:space="preserve">   600540 Registration Exp - Referee Subsidies</t>
  </si>
  <si>
    <t xml:space="preserve">   600550 Retirement Fund Employer Exp</t>
  </si>
  <si>
    <t xml:space="preserve">   600600 Salaries &amp; Wages Expense</t>
  </si>
  <si>
    <t xml:space="preserve">   600625 Scholarship Expense</t>
  </si>
  <si>
    <t xml:space="preserve">   600650 Seminars &amp; Training Expense</t>
  </si>
  <si>
    <t xml:space="preserve">   600750 Subscription &amp; Dues Expense</t>
  </si>
  <si>
    <t xml:space="preserve">   600760 Suspense Account</t>
  </si>
  <si>
    <t xml:space="preserve">   700100 Taxes &amp; Licenses Expense</t>
  </si>
  <si>
    <t xml:space="preserve">   700150 Telephone Expense</t>
  </si>
  <si>
    <t xml:space="preserve">   700250 Tournament Expense</t>
  </si>
  <si>
    <t xml:space="preserve">   700300 Travel Expense - Transportation</t>
  </si>
  <si>
    <t xml:space="preserve">   700320 Travel Expense - Hotel/Lodging</t>
  </si>
  <si>
    <t xml:space="preserve">   700340 Travel Expense - Food/Dining</t>
  </si>
  <si>
    <t xml:space="preserve">   700400 Trophies &amp; Awards Expense</t>
  </si>
  <si>
    <t xml:space="preserve">   700550 Vehicle Expense - Mileage/Gas</t>
  </si>
  <si>
    <t xml:space="preserve">   700575 Vehicle Expense - Rental/Parking</t>
  </si>
  <si>
    <t xml:space="preserve">   700600 Venue Rental Expense</t>
  </si>
  <si>
    <t xml:space="preserve">   700650 Venue Trainers Expense</t>
  </si>
  <si>
    <t>Total Expenditures</t>
  </si>
  <si>
    <t>Net Operating Revenue</t>
  </si>
  <si>
    <t>Net Revenue</t>
  </si>
  <si>
    <t>Monday, Jul 13, 2026 10:36:05 AM GMT-7 - Accrual Basis</t>
  </si>
  <si>
    <t>Georgia State Soccer Association</t>
  </si>
  <si>
    <t>Budget vs. Actuals: Budget FY26-27 P&amp;L - FY27 P&amp;L  Classes</t>
  </si>
  <si>
    <t>July 2026 - June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</si>
</sst>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&quot;$&quot;* #,##0.00\ _€"/>
  </numFmts>
  <fonts count="7" x14ac:knownFonts="1">
    <font>
      <sz val="11"/>
      <color indexed="8"/>
      <name val="Aptos Narrow"/>
      <family val="2"/>
      <scheme val="minor"/>
    </font>
    <font>
      <b/>
      <sz val="9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9"/>
      <color indexed="8"/>
      <name val="Arial"/>
      <family val="2"/>
    </font>
    <font>
      <sz val="9"/>
      <color indexed="8"/>
      <name val="Aptos Narrow"/>
      <family val="2"/>
      <scheme val="minor"/>
    </font>
    <font>
      <b/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164" fontId="3" fillId="0" borderId="0" xfId="0" applyNumberFormat="1" applyFont="1" applyAlignment="1">
      <alignment wrapText="1"/>
    </xf>
    <xf numFmtId="164" fontId="3" fillId="0" borderId="0" xfId="0" applyNumberFormat="1" applyFont="1" applyAlignment="1">
      <alignment horizontal="right" wrapText="1"/>
    </xf>
    <xf numFmtId="10" fontId="3" fillId="0" borderId="0" xfId="0" applyNumberFormat="1" applyFont="1" applyAlignment="1">
      <alignment horizontal="right" wrapText="1"/>
    </xf>
    <xf numFmtId="165" fontId="2" fillId="0" borderId="2" xfId="0" applyNumberFormat="1" applyFont="1" applyBorder="1" applyAlignment="1">
      <alignment horizontal="right" wrapText="1"/>
    </xf>
    <xf numFmtId="10" fontId="2" fillId="0" borderId="2" xfId="0" applyNumberFormat="1" applyFont="1" applyBorder="1" applyAlignment="1">
      <alignment horizontal="right" wrapText="1"/>
    </xf>
    <xf numFmtId="165" fontId="2" fillId="0" borderId="3" xfId="0" applyNumberFormat="1" applyFont="1" applyBorder="1" applyAlignment="1">
      <alignment horizontal="right" wrapText="1"/>
    </xf>
    <xf numFmtId="10" fontId="2" fillId="0" borderId="3" xfId="0" applyNumberFormat="1" applyFont="1" applyBorder="1" applyAlignment="1">
      <alignment horizontal="right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164" fontId="3" fillId="0" borderId="6" xfId="0" applyNumberFormat="1" applyFont="1" applyBorder="1" applyAlignment="1">
      <alignment wrapText="1"/>
    </xf>
    <xf numFmtId="164" fontId="3" fillId="0" borderId="7" xfId="0" applyNumberFormat="1" applyFont="1" applyBorder="1" applyAlignment="1">
      <alignment wrapText="1"/>
    </xf>
    <xf numFmtId="164" fontId="3" fillId="0" borderId="6" xfId="0" applyNumberFormat="1" applyFont="1" applyBorder="1" applyAlignment="1">
      <alignment horizontal="right" wrapText="1"/>
    </xf>
    <xf numFmtId="164" fontId="3" fillId="0" borderId="7" xfId="0" applyNumberFormat="1" applyFont="1" applyBorder="1" applyAlignment="1">
      <alignment horizontal="right" wrapText="1"/>
    </xf>
    <xf numFmtId="165" fontId="2" fillId="0" borderId="8" xfId="0" applyNumberFormat="1" applyFont="1" applyBorder="1" applyAlignment="1">
      <alignment horizontal="right" wrapText="1"/>
    </xf>
    <xf numFmtId="165" fontId="2" fillId="0" borderId="9" xfId="0" applyNumberFormat="1" applyFont="1" applyBorder="1" applyAlignment="1">
      <alignment horizontal="right" wrapText="1"/>
    </xf>
    <xf numFmtId="165" fontId="2" fillId="0" borderId="4" xfId="0" applyNumberFormat="1" applyFont="1" applyBorder="1" applyAlignment="1">
      <alignment horizontal="right" wrapText="1"/>
    </xf>
    <xf numFmtId="165" fontId="2" fillId="0" borderId="5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3" fillId="0" borderId="0" xfId="0" applyFont="1" applyAlignment="1">
      <alignment horizontal="center"/>
    </xf>
    <xf numFmtId="0" fontId="0" fillId="0" borderId="0" xfId="0"/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92"/>
  <sheetViews>
    <sheetView tabSelected="1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J25" sqref="J25"/>
    </sheetView>
  </sheetViews>
  <sheetFormatPr defaultRowHeight="14.25" x14ac:dyDescent="0.45"/>
  <cols>
    <col min="1" max="1" width="38.73046875" customWidth="1"/>
    <col min="2" max="3" width="10.265625" customWidth="1"/>
    <col min="4" max="4" width="10.265625" hidden="1" customWidth="1"/>
    <col min="5" max="5" width="7.73046875" hidden="1" customWidth="1"/>
    <col min="6" max="6" width="11.1328125" customWidth="1"/>
    <col min="7" max="7" width="10.265625" customWidth="1"/>
    <col min="8" max="8" width="11.1328125" hidden="1" customWidth="1"/>
    <col min="9" max="9" width="7.73046875" hidden="1" customWidth="1"/>
    <col min="10" max="11" width="9.3984375" customWidth="1"/>
    <col min="12" max="12" width="11.1328125" hidden="1" customWidth="1"/>
    <col min="13" max="13" width="7.73046875" hidden="1" customWidth="1"/>
    <col min="14" max="15" width="10.265625" customWidth="1"/>
    <col min="16" max="16" width="10.265625" hidden="1" customWidth="1"/>
    <col min="17" max="17" width="7.73046875" hidden="1" customWidth="1"/>
    <col min="18" max="19" width="10.265625" customWidth="1"/>
    <col min="20" max="20" width="9.3984375" hidden="1" customWidth="1"/>
    <col min="21" max="21" width="7.73046875" hidden="1" customWidth="1"/>
    <col min="22" max="23" width="10.265625" customWidth="1"/>
    <col min="24" max="24" width="11.1328125" hidden="1" customWidth="1"/>
    <col min="25" max="25" width="7.73046875" hidden="1" customWidth="1"/>
    <col min="26" max="27" width="12" customWidth="1"/>
    <col min="28" max="28" width="12" hidden="1" customWidth="1"/>
    <col min="29" max="29" width="7.73046875" hidden="1" customWidth="1"/>
    <col min="30" max="31" width="12" customWidth="1"/>
    <col min="32" max="32" width="11.1328125" hidden="1" customWidth="1"/>
    <col min="33" max="33" width="8.59765625" hidden="1" customWidth="1"/>
  </cols>
  <sheetData>
    <row r="1" spans="1:33" ht="14.25" customHeight="1" x14ac:dyDescent="0.45">
      <c r="A1" s="25" t="s">
        <v>96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</row>
    <row r="2" spans="1:33" ht="14.25" customHeight="1" x14ac:dyDescent="0.45">
      <c r="A2" s="25" t="s">
        <v>97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</row>
    <row r="3" spans="1:33" x14ac:dyDescent="0.45">
      <c r="A3" s="26" t="s">
        <v>98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</row>
    <row r="4" spans="1:33" x14ac:dyDescent="0.45">
      <c r="A4" s="1"/>
      <c r="B4" s="21" t="s">
        <v>0</v>
      </c>
      <c r="C4" s="22"/>
      <c r="D4" s="22"/>
      <c r="E4" s="22"/>
      <c r="F4" s="21" t="s">
        <v>1</v>
      </c>
      <c r="G4" s="22"/>
      <c r="H4" s="22"/>
      <c r="I4" s="22"/>
      <c r="J4" s="21" t="s">
        <v>2</v>
      </c>
      <c r="K4" s="22"/>
      <c r="L4" s="22"/>
      <c r="M4" s="22"/>
      <c r="N4" s="21" t="s">
        <v>3</v>
      </c>
      <c r="O4" s="22"/>
      <c r="P4" s="22"/>
      <c r="Q4" s="22"/>
      <c r="R4" s="21" t="s">
        <v>4</v>
      </c>
      <c r="S4" s="22"/>
      <c r="T4" s="22"/>
      <c r="U4" s="22"/>
      <c r="V4" s="21" t="s">
        <v>5</v>
      </c>
      <c r="W4" s="22"/>
      <c r="X4" s="22"/>
      <c r="Y4" s="22"/>
      <c r="Z4" s="21" t="s">
        <v>6</v>
      </c>
      <c r="AA4" s="22"/>
      <c r="AB4" s="22"/>
      <c r="AC4" s="22"/>
      <c r="AD4" s="21" t="s">
        <v>7</v>
      </c>
      <c r="AE4" s="22"/>
      <c r="AF4" s="22"/>
      <c r="AG4" s="22"/>
    </row>
    <row r="5" spans="1:33" ht="18" customHeight="1" x14ac:dyDescent="0.45">
      <c r="A5" s="1"/>
      <c r="B5" s="11" t="s">
        <v>8</v>
      </c>
      <c r="C5" s="12" t="s">
        <v>9</v>
      </c>
      <c r="D5" s="2" t="s">
        <v>10</v>
      </c>
      <c r="E5" s="2" t="s">
        <v>11</v>
      </c>
      <c r="F5" s="11" t="s">
        <v>8</v>
      </c>
      <c r="G5" s="12" t="s">
        <v>9</v>
      </c>
      <c r="H5" s="2" t="s">
        <v>10</v>
      </c>
      <c r="I5" s="2" t="s">
        <v>11</v>
      </c>
      <c r="J5" s="11" t="s">
        <v>8</v>
      </c>
      <c r="K5" s="12" t="s">
        <v>9</v>
      </c>
      <c r="L5" s="2" t="s">
        <v>10</v>
      </c>
      <c r="M5" s="2" t="s">
        <v>11</v>
      </c>
      <c r="N5" s="11" t="s">
        <v>8</v>
      </c>
      <c r="O5" s="12" t="s">
        <v>9</v>
      </c>
      <c r="P5" s="2" t="s">
        <v>10</v>
      </c>
      <c r="Q5" s="2" t="s">
        <v>11</v>
      </c>
      <c r="R5" s="11" t="s">
        <v>8</v>
      </c>
      <c r="S5" s="12" t="s">
        <v>9</v>
      </c>
      <c r="T5" s="2" t="s">
        <v>10</v>
      </c>
      <c r="U5" s="2" t="s">
        <v>11</v>
      </c>
      <c r="V5" s="11" t="s">
        <v>8</v>
      </c>
      <c r="W5" s="12" t="s">
        <v>9</v>
      </c>
      <c r="X5" s="2" t="s">
        <v>10</v>
      </c>
      <c r="Y5" s="2" t="s">
        <v>11</v>
      </c>
      <c r="Z5" s="11" t="s">
        <v>8</v>
      </c>
      <c r="AA5" s="12" t="s">
        <v>9</v>
      </c>
      <c r="AB5" s="2" t="s">
        <v>10</v>
      </c>
      <c r="AC5" s="2" t="s">
        <v>11</v>
      </c>
      <c r="AD5" s="11" t="s">
        <v>8</v>
      </c>
      <c r="AE5" s="12" t="s">
        <v>9</v>
      </c>
      <c r="AF5" s="2" t="s">
        <v>10</v>
      </c>
      <c r="AG5" s="2" t="s">
        <v>11</v>
      </c>
    </row>
    <row r="6" spans="1:33" ht="14.25" customHeight="1" x14ac:dyDescent="0.45">
      <c r="A6" s="3" t="s">
        <v>12</v>
      </c>
      <c r="B6" s="13"/>
      <c r="C6" s="14"/>
      <c r="D6" s="4"/>
      <c r="E6" s="4"/>
      <c r="F6" s="13"/>
      <c r="G6" s="14"/>
      <c r="H6" s="4"/>
      <c r="I6" s="4"/>
      <c r="J6" s="13"/>
      <c r="K6" s="14"/>
      <c r="L6" s="4"/>
      <c r="M6" s="4"/>
      <c r="N6" s="13"/>
      <c r="O6" s="14"/>
      <c r="P6" s="4"/>
      <c r="Q6" s="4"/>
      <c r="R6" s="13"/>
      <c r="S6" s="14"/>
      <c r="T6" s="4"/>
      <c r="U6" s="4"/>
      <c r="V6" s="13"/>
      <c r="W6" s="14"/>
      <c r="X6" s="4"/>
      <c r="Y6" s="4"/>
      <c r="Z6" s="13"/>
      <c r="AA6" s="14"/>
      <c r="AB6" s="4"/>
      <c r="AC6" s="4"/>
      <c r="AD6" s="13"/>
      <c r="AE6" s="14"/>
      <c r="AF6" s="4"/>
      <c r="AG6" s="4"/>
    </row>
    <row r="7" spans="1:33" ht="14.25" customHeight="1" x14ac:dyDescent="0.45">
      <c r="A7" s="3" t="s">
        <v>13</v>
      </c>
      <c r="B7" s="15">
        <f>2205</f>
        <v>2205</v>
      </c>
      <c r="C7" s="16">
        <v>1000</v>
      </c>
      <c r="D7" s="5">
        <f t="shared" ref="D7:D29" si="0">(B7)-(C7)</f>
        <v>1205</v>
      </c>
      <c r="E7" s="6">
        <f t="shared" ref="E7:E29" si="1">IF(C7=0,"",(B7)/(C7))</f>
        <v>2.2050000000000001</v>
      </c>
      <c r="F7" s="13"/>
      <c r="G7" s="14"/>
      <c r="H7" s="5">
        <f t="shared" ref="H7:H29" si="2">(F7)-(G7)</f>
        <v>0</v>
      </c>
      <c r="I7" s="6" t="str">
        <f t="shared" ref="I7:I29" si="3">IF(G7=0,"",(F7)/(G7))</f>
        <v/>
      </c>
      <c r="J7" s="13"/>
      <c r="K7" s="14"/>
      <c r="L7" s="5">
        <f t="shared" ref="L7:L29" si="4">(J7)-(K7)</f>
        <v>0</v>
      </c>
      <c r="M7" s="6" t="str">
        <f t="shared" ref="M7:M29" si="5">IF(K7=0,"",(J7)/(K7))</f>
        <v/>
      </c>
      <c r="N7" s="13"/>
      <c r="O7" s="14"/>
      <c r="P7" s="5">
        <f t="shared" ref="P7:P29" si="6">(N7)-(O7)</f>
        <v>0</v>
      </c>
      <c r="Q7" s="6" t="str">
        <f t="shared" ref="Q7:Q29" si="7">IF(O7=0,"",(N7)/(O7))</f>
        <v/>
      </c>
      <c r="R7" s="13"/>
      <c r="S7" s="14"/>
      <c r="T7" s="5">
        <f t="shared" ref="T7:T29" si="8">(R7)-(S7)</f>
        <v>0</v>
      </c>
      <c r="U7" s="6" t="str">
        <f t="shared" ref="U7:U29" si="9">IF(S7=0,"",(R7)/(S7))</f>
        <v/>
      </c>
      <c r="V7" s="13"/>
      <c r="W7" s="14"/>
      <c r="X7" s="5">
        <f t="shared" ref="X7:X29" si="10">(V7)-(W7)</f>
        <v>0</v>
      </c>
      <c r="Y7" s="6" t="str">
        <f t="shared" ref="Y7:Y29" si="11">IF(W7=0,"",(V7)/(W7))</f>
        <v/>
      </c>
      <c r="Z7" s="13"/>
      <c r="AA7" s="14"/>
      <c r="AB7" s="5">
        <f t="shared" ref="AB7:AB29" si="12">(Z7)-(AA7)</f>
        <v>0</v>
      </c>
      <c r="AC7" s="6" t="str">
        <f t="shared" ref="AC7:AC29" si="13">IF(AA7=0,"",(Z7)/(AA7))</f>
        <v/>
      </c>
      <c r="AD7" s="15">
        <f t="shared" ref="AD7:AD29" si="14">((((((B7)+(F7))+(J7))+(N7))+(R7))+(V7))+(Z7)</f>
        <v>2205</v>
      </c>
      <c r="AE7" s="16">
        <f t="shared" ref="AE7:AE29" si="15">((((((C7)+(G7))+(K7))+(O7))+(S7))+(W7))+(AA7)</f>
        <v>1000</v>
      </c>
      <c r="AF7" s="5">
        <f t="shared" ref="AF7:AF29" si="16">(AD7)-(AE7)</f>
        <v>1205</v>
      </c>
      <c r="AG7" s="6">
        <f t="shared" ref="AG7:AG29" si="17">IF(AE7=0,"",(AD7)/(AE7))</f>
        <v>2.2050000000000001</v>
      </c>
    </row>
    <row r="8" spans="1:33" ht="14.25" customHeight="1" x14ac:dyDescent="0.45">
      <c r="A8" s="3" t="s">
        <v>14</v>
      </c>
      <c r="B8" s="15">
        <f>7800</f>
        <v>7800</v>
      </c>
      <c r="C8" s="16">
        <v>9000</v>
      </c>
      <c r="D8" s="5">
        <f t="shared" si="0"/>
        <v>-1200</v>
      </c>
      <c r="E8" s="6">
        <f t="shared" si="1"/>
        <v>0.8666666666666667</v>
      </c>
      <c r="F8" s="13"/>
      <c r="G8" s="14"/>
      <c r="H8" s="5">
        <f t="shared" si="2"/>
        <v>0</v>
      </c>
      <c r="I8" s="6" t="str">
        <f t="shared" si="3"/>
        <v/>
      </c>
      <c r="J8" s="15">
        <f>600</f>
        <v>600</v>
      </c>
      <c r="K8" s="16">
        <v>750</v>
      </c>
      <c r="L8" s="5">
        <f t="shared" si="4"/>
        <v>-150</v>
      </c>
      <c r="M8" s="6">
        <f t="shared" si="5"/>
        <v>0.8</v>
      </c>
      <c r="N8" s="13">
        <v>13716.71</v>
      </c>
      <c r="O8" s="14"/>
      <c r="P8" s="5">
        <f t="shared" si="6"/>
        <v>13716.71</v>
      </c>
      <c r="Q8" s="6" t="str">
        <f t="shared" si="7"/>
        <v/>
      </c>
      <c r="R8" s="13"/>
      <c r="S8" s="14"/>
      <c r="T8" s="5">
        <f t="shared" si="8"/>
        <v>0</v>
      </c>
      <c r="U8" s="6" t="str">
        <f t="shared" si="9"/>
        <v/>
      </c>
      <c r="V8" s="13"/>
      <c r="W8" s="14"/>
      <c r="X8" s="5">
        <f t="shared" si="10"/>
        <v>0</v>
      </c>
      <c r="Y8" s="6" t="str">
        <f t="shared" si="11"/>
        <v/>
      </c>
      <c r="Z8" s="13"/>
      <c r="AA8" s="14"/>
      <c r="AB8" s="5">
        <f t="shared" si="12"/>
        <v>0</v>
      </c>
      <c r="AC8" s="6" t="str">
        <f t="shared" si="13"/>
        <v/>
      </c>
      <c r="AD8" s="15">
        <f t="shared" si="14"/>
        <v>22116.71</v>
      </c>
      <c r="AE8" s="16">
        <f t="shared" si="15"/>
        <v>9750</v>
      </c>
      <c r="AF8" s="5">
        <f t="shared" si="16"/>
        <v>12366.71</v>
      </c>
      <c r="AG8" s="6">
        <f t="shared" si="17"/>
        <v>2.2683805128205128</v>
      </c>
    </row>
    <row r="9" spans="1:33" ht="14.25" customHeight="1" x14ac:dyDescent="0.45">
      <c r="A9" s="3" t="s">
        <v>15</v>
      </c>
      <c r="B9" s="13"/>
      <c r="C9" s="14"/>
      <c r="D9" s="5">
        <f t="shared" si="0"/>
        <v>0</v>
      </c>
      <c r="E9" s="6" t="str">
        <f t="shared" si="1"/>
        <v/>
      </c>
      <c r="F9" s="13"/>
      <c r="G9" s="14"/>
      <c r="H9" s="5">
        <f t="shared" si="2"/>
        <v>0</v>
      </c>
      <c r="I9" s="6" t="str">
        <f t="shared" si="3"/>
        <v/>
      </c>
      <c r="J9" s="13"/>
      <c r="K9" s="14"/>
      <c r="L9" s="5">
        <f t="shared" si="4"/>
        <v>0</v>
      </c>
      <c r="M9" s="6" t="str">
        <f t="shared" si="5"/>
        <v/>
      </c>
      <c r="N9" s="13"/>
      <c r="O9" s="14"/>
      <c r="P9" s="5">
        <f t="shared" si="6"/>
        <v>0</v>
      </c>
      <c r="Q9" s="6" t="str">
        <f t="shared" si="7"/>
        <v/>
      </c>
      <c r="R9" s="13"/>
      <c r="S9" s="14"/>
      <c r="T9" s="5">
        <f t="shared" si="8"/>
        <v>0</v>
      </c>
      <c r="U9" s="6" t="str">
        <f t="shared" si="9"/>
        <v/>
      </c>
      <c r="V9" s="15">
        <f>2000</f>
        <v>2000</v>
      </c>
      <c r="W9" s="14"/>
      <c r="X9" s="5">
        <f t="shared" si="10"/>
        <v>2000</v>
      </c>
      <c r="Y9" s="6" t="str">
        <f t="shared" si="11"/>
        <v/>
      </c>
      <c r="Z9" s="15">
        <v>55171.21</v>
      </c>
      <c r="AA9" s="14"/>
      <c r="AB9" s="5">
        <f t="shared" si="12"/>
        <v>55171.21</v>
      </c>
      <c r="AC9" s="6" t="str">
        <f t="shared" si="13"/>
        <v/>
      </c>
      <c r="AD9" s="15">
        <f t="shared" si="14"/>
        <v>57171.21</v>
      </c>
      <c r="AE9" s="16">
        <f t="shared" si="15"/>
        <v>0</v>
      </c>
      <c r="AF9" s="5">
        <f t="shared" si="16"/>
        <v>57171.21</v>
      </c>
      <c r="AG9" s="6" t="str">
        <f t="shared" si="17"/>
        <v/>
      </c>
    </row>
    <row r="10" spans="1:33" ht="14.25" customHeight="1" x14ac:dyDescent="0.45">
      <c r="A10" s="3" t="s">
        <v>16</v>
      </c>
      <c r="B10" s="13"/>
      <c r="C10" s="14"/>
      <c r="D10" s="5">
        <f t="shared" si="0"/>
        <v>0</v>
      </c>
      <c r="E10" s="6" t="str">
        <f t="shared" si="1"/>
        <v/>
      </c>
      <c r="F10" s="13"/>
      <c r="G10" s="14"/>
      <c r="H10" s="5">
        <f t="shared" si="2"/>
        <v>0</v>
      </c>
      <c r="I10" s="6" t="str">
        <f t="shared" si="3"/>
        <v/>
      </c>
      <c r="J10" s="13"/>
      <c r="K10" s="14"/>
      <c r="L10" s="5">
        <f t="shared" si="4"/>
        <v>0</v>
      </c>
      <c r="M10" s="6" t="str">
        <f t="shared" si="5"/>
        <v/>
      </c>
      <c r="N10" s="15">
        <f>474874.68</f>
        <v>474874.68</v>
      </c>
      <c r="O10" s="16">
        <v>200000</v>
      </c>
      <c r="P10" s="5">
        <f t="shared" si="6"/>
        <v>274874.68</v>
      </c>
      <c r="Q10" s="6">
        <f t="shared" si="7"/>
        <v>2.3743734000000001</v>
      </c>
      <c r="R10" s="15">
        <f>474810.95</f>
        <v>474810.95</v>
      </c>
      <c r="S10" s="16">
        <v>411000</v>
      </c>
      <c r="T10" s="5">
        <f t="shared" si="8"/>
        <v>63810.950000000012</v>
      </c>
      <c r="U10" s="6">
        <f t="shared" si="9"/>
        <v>1.1552577858880779</v>
      </c>
      <c r="V10" s="13"/>
      <c r="W10" s="14"/>
      <c r="X10" s="5">
        <f t="shared" si="10"/>
        <v>0</v>
      </c>
      <c r="Y10" s="6" t="str">
        <f t="shared" si="11"/>
        <v/>
      </c>
      <c r="Z10" s="13"/>
      <c r="AA10" s="14"/>
      <c r="AB10" s="5">
        <f t="shared" si="12"/>
        <v>0</v>
      </c>
      <c r="AC10" s="6" t="str">
        <f t="shared" si="13"/>
        <v/>
      </c>
      <c r="AD10" s="15">
        <f t="shared" si="14"/>
        <v>949685.63</v>
      </c>
      <c r="AE10" s="16">
        <f t="shared" si="15"/>
        <v>611000</v>
      </c>
      <c r="AF10" s="5">
        <f t="shared" si="16"/>
        <v>338685.63</v>
      </c>
      <c r="AG10" s="6">
        <f t="shared" si="17"/>
        <v>1.5543136333878886</v>
      </c>
    </row>
    <row r="11" spans="1:33" ht="14.25" customHeight="1" x14ac:dyDescent="0.45">
      <c r="A11" s="3" t="s">
        <v>17</v>
      </c>
      <c r="B11" s="15">
        <f>1000</f>
        <v>1000</v>
      </c>
      <c r="C11" s="16">
        <v>1000</v>
      </c>
      <c r="D11" s="5">
        <f t="shared" si="0"/>
        <v>0</v>
      </c>
      <c r="E11" s="6">
        <f t="shared" si="1"/>
        <v>1</v>
      </c>
      <c r="F11" s="13"/>
      <c r="G11" s="14"/>
      <c r="H11" s="5">
        <f t="shared" si="2"/>
        <v>0</v>
      </c>
      <c r="I11" s="6" t="str">
        <f t="shared" si="3"/>
        <v/>
      </c>
      <c r="J11" s="13"/>
      <c r="K11" s="14"/>
      <c r="L11" s="5">
        <f t="shared" si="4"/>
        <v>0</v>
      </c>
      <c r="M11" s="6" t="str">
        <f t="shared" si="5"/>
        <v/>
      </c>
      <c r="N11" s="15">
        <f>850</f>
        <v>850</v>
      </c>
      <c r="O11" s="14"/>
      <c r="P11" s="5">
        <f t="shared" si="6"/>
        <v>850</v>
      </c>
      <c r="Q11" s="6" t="str">
        <f t="shared" si="7"/>
        <v/>
      </c>
      <c r="R11" s="13"/>
      <c r="S11" s="14"/>
      <c r="T11" s="5">
        <f t="shared" si="8"/>
        <v>0</v>
      </c>
      <c r="U11" s="6" t="str">
        <f t="shared" si="9"/>
        <v/>
      </c>
      <c r="V11" s="13"/>
      <c r="W11" s="14"/>
      <c r="X11" s="5">
        <f t="shared" si="10"/>
        <v>0</v>
      </c>
      <c r="Y11" s="6" t="str">
        <f t="shared" si="11"/>
        <v/>
      </c>
      <c r="Z11" s="13"/>
      <c r="AA11" s="14"/>
      <c r="AB11" s="5">
        <f t="shared" si="12"/>
        <v>0</v>
      </c>
      <c r="AC11" s="6" t="str">
        <f t="shared" si="13"/>
        <v/>
      </c>
      <c r="AD11" s="15">
        <f t="shared" si="14"/>
        <v>1850</v>
      </c>
      <c r="AE11" s="16">
        <f t="shared" si="15"/>
        <v>1000</v>
      </c>
      <c r="AF11" s="5">
        <f t="shared" si="16"/>
        <v>850</v>
      </c>
      <c r="AG11" s="6">
        <f t="shared" si="17"/>
        <v>1.85</v>
      </c>
    </row>
    <row r="12" spans="1:33" ht="14.25" customHeight="1" x14ac:dyDescent="0.45">
      <c r="A12" s="3" t="s">
        <v>18</v>
      </c>
      <c r="B12" s="13"/>
      <c r="C12" s="14"/>
      <c r="D12" s="5">
        <f t="shared" si="0"/>
        <v>0</v>
      </c>
      <c r="E12" s="6" t="str">
        <f t="shared" si="1"/>
        <v/>
      </c>
      <c r="F12" s="13"/>
      <c r="G12" s="14"/>
      <c r="H12" s="5">
        <f t="shared" si="2"/>
        <v>0</v>
      </c>
      <c r="I12" s="6" t="str">
        <f t="shared" si="3"/>
        <v/>
      </c>
      <c r="J12" s="13"/>
      <c r="K12" s="14"/>
      <c r="L12" s="5">
        <f t="shared" si="4"/>
        <v>0</v>
      </c>
      <c r="M12" s="6" t="str">
        <f t="shared" si="5"/>
        <v/>
      </c>
      <c r="N12" s="13"/>
      <c r="O12" s="14"/>
      <c r="P12" s="5">
        <f t="shared" si="6"/>
        <v>0</v>
      </c>
      <c r="Q12" s="6" t="str">
        <f t="shared" si="7"/>
        <v/>
      </c>
      <c r="R12" s="13"/>
      <c r="S12" s="14"/>
      <c r="T12" s="5">
        <f t="shared" si="8"/>
        <v>0</v>
      </c>
      <c r="U12" s="6" t="str">
        <f t="shared" si="9"/>
        <v/>
      </c>
      <c r="V12" s="13"/>
      <c r="W12" s="14"/>
      <c r="X12" s="5">
        <f t="shared" si="10"/>
        <v>0</v>
      </c>
      <c r="Y12" s="6" t="str">
        <f t="shared" si="11"/>
        <v/>
      </c>
      <c r="Z12" s="15">
        <f>62878.69</f>
        <v>62878.69</v>
      </c>
      <c r="AA12" s="16">
        <v>70000</v>
      </c>
      <c r="AB12" s="5">
        <f t="shared" si="12"/>
        <v>-7121.3099999999977</v>
      </c>
      <c r="AC12" s="6">
        <f t="shared" si="13"/>
        <v>0.89826700000000004</v>
      </c>
      <c r="AD12" s="15">
        <f t="shared" si="14"/>
        <v>62878.69</v>
      </c>
      <c r="AE12" s="16">
        <f t="shared" si="15"/>
        <v>70000</v>
      </c>
      <c r="AF12" s="5">
        <f t="shared" si="16"/>
        <v>-7121.3099999999977</v>
      </c>
      <c r="AG12" s="6">
        <f t="shared" si="17"/>
        <v>0.89826700000000004</v>
      </c>
    </row>
    <row r="13" spans="1:33" ht="14.25" customHeight="1" x14ac:dyDescent="0.45">
      <c r="A13" s="3" t="s">
        <v>19</v>
      </c>
      <c r="B13" s="13"/>
      <c r="C13" s="14"/>
      <c r="D13" s="5">
        <f t="shared" si="0"/>
        <v>0</v>
      </c>
      <c r="E13" s="6" t="str">
        <f t="shared" si="1"/>
        <v/>
      </c>
      <c r="F13" s="13"/>
      <c r="G13" s="14"/>
      <c r="H13" s="5">
        <f t="shared" si="2"/>
        <v>0</v>
      </c>
      <c r="I13" s="6" t="str">
        <f t="shared" si="3"/>
        <v/>
      </c>
      <c r="J13" s="13"/>
      <c r="K13" s="14"/>
      <c r="L13" s="5">
        <f t="shared" si="4"/>
        <v>0</v>
      </c>
      <c r="M13" s="6" t="str">
        <f t="shared" si="5"/>
        <v/>
      </c>
      <c r="N13" s="13"/>
      <c r="O13" s="14"/>
      <c r="P13" s="5">
        <f t="shared" si="6"/>
        <v>0</v>
      </c>
      <c r="Q13" s="6" t="str">
        <f t="shared" si="7"/>
        <v/>
      </c>
      <c r="R13" s="13"/>
      <c r="S13" s="14"/>
      <c r="T13" s="5">
        <f t="shared" si="8"/>
        <v>0</v>
      </c>
      <c r="U13" s="6" t="str">
        <f t="shared" si="9"/>
        <v/>
      </c>
      <c r="V13" s="13"/>
      <c r="W13" s="14"/>
      <c r="X13" s="5">
        <f t="shared" si="10"/>
        <v>0</v>
      </c>
      <c r="Y13" s="6" t="str">
        <f t="shared" si="11"/>
        <v/>
      </c>
      <c r="Z13" s="15">
        <f>14971.66</f>
        <v>14971.66</v>
      </c>
      <c r="AA13" s="14">
        <v>10000</v>
      </c>
      <c r="AB13" s="5">
        <f t="shared" si="12"/>
        <v>4971.66</v>
      </c>
      <c r="AC13" s="6">
        <f t="shared" si="13"/>
        <v>1.497166</v>
      </c>
      <c r="AD13" s="15">
        <f t="shared" si="14"/>
        <v>14971.66</v>
      </c>
      <c r="AE13" s="16">
        <f t="shared" si="15"/>
        <v>10000</v>
      </c>
      <c r="AF13" s="5">
        <f t="shared" si="16"/>
        <v>4971.66</v>
      </c>
      <c r="AG13" s="6">
        <f t="shared" si="17"/>
        <v>1.497166</v>
      </c>
    </row>
    <row r="14" spans="1:33" ht="14.25" customHeight="1" x14ac:dyDescent="0.45">
      <c r="A14" s="3" t="s">
        <v>20</v>
      </c>
      <c r="B14" s="13"/>
      <c r="C14" s="14">
        <v>15000</v>
      </c>
      <c r="D14" s="5">
        <f t="shared" si="0"/>
        <v>-15000</v>
      </c>
      <c r="E14" s="6">
        <f t="shared" si="1"/>
        <v>0</v>
      </c>
      <c r="F14" s="13"/>
      <c r="G14" s="14"/>
      <c r="H14" s="5">
        <f t="shared" si="2"/>
        <v>0</v>
      </c>
      <c r="I14" s="6" t="str">
        <f t="shared" si="3"/>
        <v/>
      </c>
      <c r="J14" s="13"/>
      <c r="K14" s="14"/>
      <c r="L14" s="5">
        <f t="shared" si="4"/>
        <v>0</v>
      </c>
      <c r="M14" s="6" t="str">
        <f t="shared" si="5"/>
        <v/>
      </c>
      <c r="N14" s="13"/>
      <c r="O14" s="14"/>
      <c r="P14" s="5">
        <f t="shared" si="6"/>
        <v>0</v>
      </c>
      <c r="Q14" s="6" t="str">
        <f t="shared" si="7"/>
        <v/>
      </c>
      <c r="R14" s="13"/>
      <c r="S14" s="14"/>
      <c r="T14" s="5">
        <f t="shared" si="8"/>
        <v>0</v>
      </c>
      <c r="U14" s="6" t="str">
        <f t="shared" si="9"/>
        <v/>
      </c>
      <c r="V14" s="13"/>
      <c r="W14" s="14"/>
      <c r="X14" s="5">
        <f t="shared" si="10"/>
        <v>0</v>
      </c>
      <c r="Y14" s="6" t="str">
        <f t="shared" si="11"/>
        <v/>
      </c>
      <c r="Z14" s="15">
        <v>12613.08</v>
      </c>
      <c r="AA14" s="16">
        <v>15000</v>
      </c>
      <c r="AB14" s="5">
        <f t="shared" si="12"/>
        <v>-2386.92</v>
      </c>
      <c r="AC14" s="6">
        <f t="shared" si="13"/>
        <v>0.84087199999999995</v>
      </c>
      <c r="AD14" s="15">
        <f t="shared" si="14"/>
        <v>12613.08</v>
      </c>
      <c r="AE14" s="16">
        <f t="shared" si="15"/>
        <v>30000</v>
      </c>
      <c r="AF14" s="5">
        <f t="shared" si="16"/>
        <v>-17386.919999999998</v>
      </c>
      <c r="AG14" s="6">
        <f t="shared" si="17"/>
        <v>0.42043599999999998</v>
      </c>
    </row>
    <row r="15" spans="1:33" ht="14.25" customHeight="1" x14ac:dyDescent="0.45">
      <c r="A15" s="3" t="s">
        <v>21</v>
      </c>
      <c r="B15" s="13"/>
      <c r="C15" s="14">
        <v>25000</v>
      </c>
      <c r="D15" s="5">
        <f t="shared" si="0"/>
        <v>-25000</v>
      </c>
      <c r="E15" s="6">
        <f t="shared" si="1"/>
        <v>0</v>
      </c>
      <c r="F15" s="13"/>
      <c r="G15" s="14"/>
      <c r="H15" s="5">
        <f t="shared" si="2"/>
        <v>0</v>
      </c>
      <c r="I15" s="6" t="str">
        <f t="shared" si="3"/>
        <v/>
      </c>
      <c r="J15" s="13"/>
      <c r="K15" s="14"/>
      <c r="L15" s="5">
        <f t="shared" si="4"/>
        <v>0</v>
      </c>
      <c r="M15" s="6" t="str">
        <f t="shared" si="5"/>
        <v/>
      </c>
      <c r="N15" s="13"/>
      <c r="O15" s="14"/>
      <c r="P15" s="5">
        <f t="shared" si="6"/>
        <v>0</v>
      </c>
      <c r="Q15" s="6" t="str">
        <f t="shared" si="7"/>
        <v/>
      </c>
      <c r="R15" s="13">
        <v>27450</v>
      </c>
      <c r="S15" s="16">
        <v>25000</v>
      </c>
      <c r="T15" s="5">
        <f t="shared" si="8"/>
        <v>2450</v>
      </c>
      <c r="U15" s="6">
        <f t="shared" si="9"/>
        <v>1.0980000000000001</v>
      </c>
      <c r="V15" s="13"/>
      <c r="W15" s="14"/>
      <c r="X15" s="5">
        <f t="shared" si="10"/>
        <v>0</v>
      </c>
      <c r="Y15" s="6" t="str">
        <f t="shared" si="11"/>
        <v/>
      </c>
      <c r="Z15" s="13"/>
      <c r="AA15" s="14"/>
      <c r="AB15" s="5">
        <f t="shared" si="12"/>
        <v>0</v>
      </c>
      <c r="AC15" s="6" t="str">
        <f t="shared" si="13"/>
        <v/>
      </c>
      <c r="AD15" s="15">
        <f t="shared" si="14"/>
        <v>27450</v>
      </c>
      <c r="AE15" s="16">
        <f t="shared" si="15"/>
        <v>50000</v>
      </c>
      <c r="AF15" s="5">
        <f t="shared" si="16"/>
        <v>-22550</v>
      </c>
      <c r="AG15" s="6">
        <f t="shared" si="17"/>
        <v>0.54900000000000004</v>
      </c>
    </row>
    <row r="16" spans="1:33" ht="14.25" customHeight="1" x14ac:dyDescent="0.45">
      <c r="A16" s="3" t="s">
        <v>22</v>
      </c>
      <c r="B16" s="15">
        <f>100000</f>
        <v>100000</v>
      </c>
      <c r="C16" s="14">
        <v>25000</v>
      </c>
      <c r="D16" s="5">
        <f t="shared" si="0"/>
        <v>75000</v>
      </c>
      <c r="E16" s="6">
        <f t="shared" si="1"/>
        <v>4</v>
      </c>
      <c r="F16" s="13"/>
      <c r="G16" s="14"/>
      <c r="H16" s="5">
        <f t="shared" si="2"/>
        <v>0</v>
      </c>
      <c r="I16" s="6" t="str">
        <f t="shared" si="3"/>
        <v/>
      </c>
      <c r="J16" s="13"/>
      <c r="K16" s="14"/>
      <c r="L16" s="5">
        <f t="shared" si="4"/>
        <v>0</v>
      </c>
      <c r="M16" s="6" t="str">
        <f t="shared" si="5"/>
        <v/>
      </c>
      <c r="N16" s="13"/>
      <c r="O16" s="14"/>
      <c r="P16" s="5">
        <f t="shared" si="6"/>
        <v>0</v>
      </c>
      <c r="Q16" s="6" t="str">
        <f t="shared" si="7"/>
        <v/>
      </c>
      <c r="R16" s="13"/>
      <c r="S16" s="14"/>
      <c r="T16" s="5">
        <f t="shared" si="8"/>
        <v>0</v>
      </c>
      <c r="U16" s="6" t="str">
        <f t="shared" si="9"/>
        <v/>
      </c>
      <c r="V16" s="13"/>
      <c r="W16" s="14"/>
      <c r="X16" s="5">
        <f t="shared" si="10"/>
        <v>0</v>
      </c>
      <c r="Y16" s="6" t="str">
        <f t="shared" si="11"/>
        <v/>
      </c>
      <c r="Z16" s="13"/>
      <c r="AA16" s="14"/>
      <c r="AB16" s="5">
        <f t="shared" si="12"/>
        <v>0</v>
      </c>
      <c r="AC16" s="6" t="str">
        <f t="shared" si="13"/>
        <v/>
      </c>
      <c r="AD16" s="15">
        <f t="shared" si="14"/>
        <v>100000</v>
      </c>
      <c r="AE16" s="16">
        <f t="shared" si="15"/>
        <v>25000</v>
      </c>
      <c r="AF16" s="5">
        <f t="shared" si="16"/>
        <v>75000</v>
      </c>
      <c r="AG16" s="6">
        <f t="shared" si="17"/>
        <v>4</v>
      </c>
    </row>
    <row r="17" spans="1:33" ht="14.25" customHeight="1" x14ac:dyDescent="0.45">
      <c r="A17" s="3" t="s">
        <v>23</v>
      </c>
      <c r="B17" s="13"/>
      <c r="C17" s="14"/>
      <c r="D17" s="5">
        <f t="shared" si="0"/>
        <v>0</v>
      </c>
      <c r="E17" s="6" t="str">
        <f t="shared" si="1"/>
        <v/>
      </c>
      <c r="F17" s="15">
        <f>823.7</f>
        <v>823.7</v>
      </c>
      <c r="G17" s="16">
        <v>1500</v>
      </c>
      <c r="H17" s="5">
        <f t="shared" si="2"/>
        <v>-676.3</v>
      </c>
      <c r="I17" s="6">
        <f t="shared" si="3"/>
        <v>0.54913333333333336</v>
      </c>
      <c r="J17" s="13"/>
      <c r="K17" s="14"/>
      <c r="L17" s="5">
        <f t="shared" si="4"/>
        <v>0</v>
      </c>
      <c r="M17" s="6" t="str">
        <f t="shared" si="5"/>
        <v/>
      </c>
      <c r="N17" s="13"/>
      <c r="O17" s="14"/>
      <c r="P17" s="5">
        <f t="shared" si="6"/>
        <v>0</v>
      </c>
      <c r="Q17" s="6" t="str">
        <f t="shared" si="7"/>
        <v/>
      </c>
      <c r="R17" s="13"/>
      <c r="S17" s="14"/>
      <c r="T17" s="5">
        <f t="shared" si="8"/>
        <v>0</v>
      </c>
      <c r="U17" s="6" t="str">
        <f t="shared" si="9"/>
        <v/>
      </c>
      <c r="V17" s="15">
        <f>8338.2</f>
        <v>8338.2000000000007</v>
      </c>
      <c r="W17" s="16">
        <v>0</v>
      </c>
      <c r="X17" s="5">
        <f t="shared" si="10"/>
        <v>8338.2000000000007</v>
      </c>
      <c r="Y17" s="6" t="str">
        <f t="shared" si="11"/>
        <v/>
      </c>
      <c r="Z17" s="13"/>
      <c r="AA17" s="14"/>
      <c r="AB17" s="5">
        <f t="shared" si="12"/>
        <v>0</v>
      </c>
      <c r="AC17" s="6" t="str">
        <f t="shared" si="13"/>
        <v/>
      </c>
      <c r="AD17" s="15">
        <f t="shared" si="14"/>
        <v>9161.9000000000015</v>
      </c>
      <c r="AE17" s="16">
        <f t="shared" si="15"/>
        <v>1500</v>
      </c>
      <c r="AF17" s="5">
        <f t="shared" si="16"/>
        <v>7661.9000000000015</v>
      </c>
      <c r="AG17" s="6">
        <f t="shared" si="17"/>
        <v>6.1079333333333343</v>
      </c>
    </row>
    <row r="18" spans="1:33" ht="14.25" customHeight="1" x14ac:dyDescent="0.45">
      <c r="A18" s="3" t="s">
        <v>24</v>
      </c>
      <c r="B18" s="13"/>
      <c r="C18" s="14"/>
      <c r="D18" s="5">
        <f t="shared" si="0"/>
        <v>0</v>
      </c>
      <c r="E18" s="6" t="str">
        <f t="shared" si="1"/>
        <v/>
      </c>
      <c r="F18" s="13"/>
      <c r="G18" s="14"/>
      <c r="H18" s="5">
        <f t="shared" si="2"/>
        <v>0</v>
      </c>
      <c r="I18" s="6" t="str">
        <f t="shared" si="3"/>
        <v/>
      </c>
      <c r="J18" s="13"/>
      <c r="K18" s="14"/>
      <c r="L18" s="5">
        <f t="shared" si="4"/>
        <v>0</v>
      </c>
      <c r="M18" s="6" t="str">
        <f t="shared" si="5"/>
        <v/>
      </c>
      <c r="N18" s="13"/>
      <c r="O18" s="14"/>
      <c r="P18" s="5">
        <f t="shared" si="6"/>
        <v>0</v>
      </c>
      <c r="Q18" s="6" t="str">
        <f t="shared" si="7"/>
        <v/>
      </c>
      <c r="R18" s="13"/>
      <c r="S18" s="14"/>
      <c r="T18" s="5">
        <f t="shared" si="8"/>
        <v>0</v>
      </c>
      <c r="U18" s="6" t="str">
        <f t="shared" si="9"/>
        <v/>
      </c>
      <c r="V18" s="15">
        <f>315020</f>
        <v>315020</v>
      </c>
      <c r="W18" s="16">
        <v>262000</v>
      </c>
      <c r="X18" s="5">
        <f t="shared" si="10"/>
        <v>53020</v>
      </c>
      <c r="Y18" s="6">
        <f t="shared" si="11"/>
        <v>1.2023664122137405</v>
      </c>
      <c r="Z18" s="13"/>
      <c r="AA18" s="14"/>
      <c r="AB18" s="5">
        <f t="shared" si="12"/>
        <v>0</v>
      </c>
      <c r="AC18" s="6" t="str">
        <f t="shared" si="13"/>
        <v/>
      </c>
      <c r="AD18" s="15">
        <f t="shared" si="14"/>
        <v>315020</v>
      </c>
      <c r="AE18" s="16">
        <f t="shared" si="15"/>
        <v>262000</v>
      </c>
      <c r="AF18" s="5">
        <f t="shared" si="16"/>
        <v>53020</v>
      </c>
      <c r="AG18" s="6">
        <f t="shared" si="17"/>
        <v>1.2023664122137405</v>
      </c>
    </row>
    <row r="19" spans="1:33" ht="14.25" customHeight="1" x14ac:dyDescent="0.45">
      <c r="A19" s="3" t="s">
        <v>25</v>
      </c>
      <c r="B19" s="13"/>
      <c r="C19" s="14"/>
      <c r="D19" s="5">
        <f t="shared" si="0"/>
        <v>0</v>
      </c>
      <c r="E19" s="6" t="str">
        <f t="shared" si="1"/>
        <v/>
      </c>
      <c r="F19" s="13"/>
      <c r="G19" s="14"/>
      <c r="H19" s="5">
        <f t="shared" si="2"/>
        <v>0</v>
      </c>
      <c r="I19" s="6" t="str">
        <f t="shared" si="3"/>
        <v/>
      </c>
      <c r="J19" s="13"/>
      <c r="K19" s="14"/>
      <c r="L19" s="5">
        <f t="shared" si="4"/>
        <v>0</v>
      </c>
      <c r="M19" s="6" t="str">
        <f t="shared" si="5"/>
        <v/>
      </c>
      <c r="N19" s="13"/>
      <c r="O19" s="14"/>
      <c r="P19" s="5">
        <f t="shared" si="6"/>
        <v>0</v>
      </c>
      <c r="Q19" s="6" t="str">
        <f t="shared" si="7"/>
        <v/>
      </c>
      <c r="R19" s="13"/>
      <c r="S19" s="14"/>
      <c r="T19" s="5">
        <f t="shared" si="8"/>
        <v>0</v>
      </c>
      <c r="U19" s="6" t="str">
        <f t="shared" si="9"/>
        <v/>
      </c>
      <c r="V19" s="15">
        <f>10476.53</f>
        <v>10476.530000000001</v>
      </c>
      <c r="W19" s="16">
        <v>10000</v>
      </c>
      <c r="X19" s="5">
        <f t="shared" si="10"/>
        <v>476.53000000000065</v>
      </c>
      <c r="Y19" s="6">
        <f t="shared" si="11"/>
        <v>1.0476530000000002</v>
      </c>
      <c r="Z19" s="13"/>
      <c r="AA19" s="14"/>
      <c r="AB19" s="5">
        <f t="shared" si="12"/>
        <v>0</v>
      </c>
      <c r="AC19" s="6" t="str">
        <f t="shared" si="13"/>
        <v/>
      </c>
      <c r="AD19" s="15">
        <f t="shared" si="14"/>
        <v>10476.530000000001</v>
      </c>
      <c r="AE19" s="16">
        <f t="shared" si="15"/>
        <v>10000</v>
      </c>
      <c r="AF19" s="5">
        <f t="shared" si="16"/>
        <v>476.53000000000065</v>
      </c>
      <c r="AG19" s="6">
        <f t="shared" si="17"/>
        <v>1.0476530000000002</v>
      </c>
    </row>
    <row r="20" spans="1:33" ht="14.25" customHeight="1" x14ac:dyDescent="0.45">
      <c r="A20" s="3" t="s">
        <v>26</v>
      </c>
      <c r="B20" s="13"/>
      <c r="C20" s="14"/>
      <c r="D20" s="5">
        <f t="shared" si="0"/>
        <v>0</v>
      </c>
      <c r="E20" s="6" t="str">
        <f t="shared" si="1"/>
        <v/>
      </c>
      <c r="F20" s="13"/>
      <c r="G20" s="14"/>
      <c r="H20" s="5">
        <f t="shared" si="2"/>
        <v>0</v>
      </c>
      <c r="I20" s="6" t="str">
        <f t="shared" si="3"/>
        <v/>
      </c>
      <c r="J20" s="13"/>
      <c r="K20" s="14"/>
      <c r="L20" s="5">
        <f t="shared" si="4"/>
        <v>0</v>
      </c>
      <c r="M20" s="6" t="str">
        <f t="shared" si="5"/>
        <v/>
      </c>
      <c r="N20" s="13"/>
      <c r="O20" s="14"/>
      <c r="P20" s="5">
        <f t="shared" si="6"/>
        <v>0</v>
      </c>
      <c r="Q20" s="6" t="str">
        <f t="shared" si="7"/>
        <v/>
      </c>
      <c r="R20" s="13"/>
      <c r="S20" s="14"/>
      <c r="T20" s="5">
        <f t="shared" si="8"/>
        <v>0</v>
      </c>
      <c r="U20" s="6" t="str">
        <f t="shared" si="9"/>
        <v/>
      </c>
      <c r="V20" s="15">
        <f>384610</f>
        <v>384610</v>
      </c>
      <c r="W20" s="16">
        <v>375000</v>
      </c>
      <c r="X20" s="5">
        <f t="shared" si="10"/>
        <v>9610</v>
      </c>
      <c r="Y20" s="6">
        <f t="shared" si="11"/>
        <v>1.0256266666666667</v>
      </c>
      <c r="Z20" s="13"/>
      <c r="AA20" s="14"/>
      <c r="AB20" s="5">
        <f t="shared" si="12"/>
        <v>0</v>
      </c>
      <c r="AC20" s="6" t="str">
        <f t="shared" si="13"/>
        <v/>
      </c>
      <c r="AD20" s="15">
        <f t="shared" si="14"/>
        <v>384610</v>
      </c>
      <c r="AE20" s="16">
        <f t="shared" si="15"/>
        <v>375000</v>
      </c>
      <c r="AF20" s="5">
        <f t="shared" si="16"/>
        <v>9610</v>
      </c>
      <c r="AG20" s="6">
        <f t="shared" si="17"/>
        <v>1.0256266666666667</v>
      </c>
    </row>
    <row r="21" spans="1:33" ht="14.25" customHeight="1" x14ac:dyDescent="0.45">
      <c r="A21" s="3" t="s">
        <v>27</v>
      </c>
      <c r="B21" s="13"/>
      <c r="C21" s="14"/>
      <c r="D21" s="5">
        <f t="shared" si="0"/>
        <v>0</v>
      </c>
      <c r="E21" s="6" t="str">
        <f t="shared" si="1"/>
        <v/>
      </c>
      <c r="F21" s="13"/>
      <c r="G21" s="14"/>
      <c r="H21" s="5">
        <f t="shared" si="2"/>
        <v>0</v>
      </c>
      <c r="I21" s="6" t="str">
        <f t="shared" si="3"/>
        <v/>
      </c>
      <c r="J21" s="13"/>
      <c r="K21" s="14"/>
      <c r="L21" s="5">
        <f t="shared" si="4"/>
        <v>0</v>
      </c>
      <c r="M21" s="6" t="str">
        <f t="shared" si="5"/>
        <v/>
      </c>
      <c r="N21" s="13"/>
      <c r="O21" s="14"/>
      <c r="P21" s="5">
        <f t="shared" si="6"/>
        <v>0</v>
      </c>
      <c r="Q21" s="6" t="str">
        <f t="shared" si="7"/>
        <v/>
      </c>
      <c r="R21" s="13"/>
      <c r="S21" s="14"/>
      <c r="T21" s="5">
        <f t="shared" si="8"/>
        <v>0</v>
      </c>
      <c r="U21" s="6" t="str">
        <f t="shared" si="9"/>
        <v/>
      </c>
      <c r="V21" s="15">
        <f>99110</f>
        <v>99110</v>
      </c>
      <c r="W21" s="16">
        <f>100000</f>
        <v>100000</v>
      </c>
      <c r="X21" s="5">
        <f t="shared" si="10"/>
        <v>-890</v>
      </c>
      <c r="Y21" s="6">
        <f t="shared" si="11"/>
        <v>0.99109999999999998</v>
      </c>
      <c r="Z21" s="13"/>
      <c r="AA21" s="14"/>
      <c r="AB21" s="5">
        <f t="shared" si="12"/>
        <v>0</v>
      </c>
      <c r="AC21" s="6" t="str">
        <f t="shared" si="13"/>
        <v/>
      </c>
      <c r="AD21" s="15">
        <f t="shared" si="14"/>
        <v>99110</v>
      </c>
      <c r="AE21" s="16">
        <f t="shared" si="15"/>
        <v>100000</v>
      </c>
      <c r="AF21" s="5">
        <f t="shared" si="16"/>
        <v>-890</v>
      </c>
      <c r="AG21" s="6">
        <f t="shared" si="17"/>
        <v>0.99109999999999998</v>
      </c>
    </row>
    <row r="22" spans="1:33" ht="14.25" customHeight="1" x14ac:dyDescent="0.45">
      <c r="A22" s="3" t="s">
        <v>28</v>
      </c>
      <c r="B22" s="13"/>
      <c r="C22" s="14"/>
      <c r="D22" s="5">
        <f t="shared" si="0"/>
        <v>0</v>
      </c>
      <c r="E22" s="6" t="str">
        <f t="shared" si="1"/>
        <v/>
      </c>
      <c r="F22" s="13"/>
      <c r="G22" s="14"/>
      <c r="H22" s="5">
        <f t="shared" si="2"/>
        <v>0</v>
      </c>
      <c r="I22" s="6" t="str">
        <f t="shared" si="3"/>
        <v/>
      </c>
      <c r="J22" s="13"/>
      <c r="K22" s="14"/>
      <c r="L22" s="5">
        <f t="shared" si="4"/>
        <v>0</v>
      </c>
      <c r="M22" s="6" t="str">
        <f t="shared" si="5"/>
        <v/>
      </c>
      <c r="N22" s="13"/>
      <c r="O22" s="14"/>
      <c r="P22" s="5">
        <f t="shared" si="6"/>
        <v>0</v>
      </c>
      <c r="Q22" s="6" t="str">
        <f t="shared" si="7"/>
        <v/>
      </c>
      <c r="R22" s="13"/>
      <c r="S22" s="14"/>
      <c r="T22" s="5">
        <f t="shared" si="8"/>
        <v>0</v>
      </c>
      <c r="U22" s="6" t="str">
        <f t="shared" si="9"/>
        <v/>
      </c>
      <c r="V22" s="13"/>
      <c r="W22" s="14"/>
      <c r="X22" s="5">
        <f t="shared" si="10"/>
        <v>0</v>
      </c>
      <c r="Y22" s="6" t="str">
        <f t="shared" si="11"/>
        <v/>
      </c>
      <c r="Z22" s="15">
        <f>4098.38</f>
        <v>4098.38</v>
      </c>
      <c r="AA22" s="16">
        <v>50000</v>
      </c>
      <c r="AB22" s="5">
        <f t="shared" si="12"/>
        <v>-45901.62</v>
      </c>
      <c r="AC22" s="6">
        <f t="shared" si="13"/>
        <v>8.1967600000000002E-2</v>
      </c>
      <c r="AD22" s="15">
        <f t="shared" si="14"/>
        <v>4098.38</v>
      </c>
      <c r="AE22" s="16">
        <f t="shared" si="15"/>
        <v>50000</v>
      </c>
      <c r="AF22" s="5">
        <f t="shared" si="16"/>
        <v>-45901.62</v>
      </c>
      <c r="AG22" s="6">
        <f t="shared" si="17"/>
        <v>8.1967600000000002E-2</v>
      </c>
    </row>
    <row r="23" spans="1:33" ht="14.25" customHeight="1" x14ac:dyDescent="0.45">
      <c r="A23" s="3" t="s">
        <v>29</v>
      </c>
      <c r="B23" s="15">
        <f>494854.25</f>
        <v>494854.25</v>
      </c>
      <c r="C23" s="16">
        <v>490000</v>
      </c>
      <c r="D23" s="5">
        <f t="shared" si="0"/>
        <v>4854.25</v>
      </c>
      <c r="E23" s="6">
        <f t="shared" si="1"/>
        <v>1.0099066326530612</v>
      </c>
      <c r="F23" s="13"/>
      <c r="G23" s="14"/>
      <c r="H23" s="5">
        <f t="shared" si="2"/>
        <v>0</v>
      </c>
      <c r="I23" s="6" t="str">
        <f t="shared" si="3"/>
        <v/>
      </c>
      <c r="J23" s="15">
        <f>55745</f>
        <v>55745</v>
      </c>
      <c r="K23" s="16">
        <v>57000</v>
      </c>
      <c r="L23" s="5">
        <f t="shared" si="4"/>
        <v>-1255</v>
      </c>
      <c r="M23" s="6">
        <f t="shared" si="5"/>
        <v>0.97798245614035084</v>
      </c>
      <c r="N23" s="15">
        <f>38384</f>
        <v>38384</v>
      </c>
      <c r="O23" s="16">
        <v>290000</v>
      </c>
      <c r="P23" s="5">
        <f t="shared" si="6"/>
        <v>-251616</v>
      </c>
      <c r="Q23" s="6">
        <f t="shared" si="7"/>
        <v>0.13235862068965518</v>
      </c>
      <c r="R23" s="13"/>
      <c r="S23" s="14"/>
      <c r="T23" s="5">
        <f t="shared" si="8"/>
        <v>0</v>
      </c>
      <c r="U23" s="6" t="str">
        <f t="shared" si="9"/>
        <v/>
      </c>
      <c r="V23" s="13"/>
      <c r="W23" s="14"/>
      <c r="X23" s="5">
        <f t="shared" si="10"/>
        <v>0</v>
      </c>
      <c r="Y23" s="6" t="str">
        <f t="shared" si="11"/>
        <v/>
      </c>
      <c r="Z23" s="13"/>
      <c r="AA23" s="14"/>
      <c r="AB23" s="5">
        <f t="shared" si="12"/>
        <v>0</v>
      </c>
      <c r="AC23" s="6" t="str">
        <f t="shared" si="13"/>
        <v/>
      </c>
      <c r="AD23" s="15">
        <f t="shared" si="14"/>
        <v>588983.25</v>
      </c>
      <c r="AE23" s="16">
        <f t="shared" si="15"/>
        <v>837000</v>
      </c>
      <c r="AF23" s="5">
        <f t="shared" si="16"/>
        <v>-248016.75</v>
      </c>
      <c r="AG23" s="6">
        <f t="shared" si="17"/>
        <v>0.70368369175627243</v>
      </c>
    </row>
    <row r="24" spans="1:33" ht="14.25" customHeight="1" x14ac:dyDescent="0.45">
      <c r="A24" s="3" t="s">
        <v>30</v>
      </c>
      <c r="B24" s="15">
        <f>1500</f>
        <v>1500</v>
      </c>
      <c r="C24" s="16">
        <v>15000</v>
      </c>
      <c r="D24" s="5">
        <f t="shared" si="0"/>
        <v>-13500</v>
      </c>
      <c r="E24" s="6">
        <f t="shared" si="1"/>
        <v>0.1</v>
      </c>
      <c r="F24" s="15">
        <f>78560</f>
        <v>78560</v>
      </c>
      <c r="G24" s="16">
        <v>100000</v>
      </c>
      <c r="H24" s="5">
        <f t="shared" si="2"/>
        <v>-21440</v>
      </c>
      <c r="I24" s="6">
        <f t="shared" si="3"/>
        <v>0.78559999999999997</v>
      </c>
      <c r="J24" s="13"/>
      <c r="K24" s="14"/>
      <c r="L24" s="5">
        <f t="shared" si="4"/>
        <v>0</v>
      </c>
      <c r="M24" s="6" t="str">
        <f t="shared" si="5"/>
        <v/>
      </c>
      <c r="N24" s="13"/>
      <c r="O24" s="14"/>
      <c r="P24" s="5">
        <f t="shared" si="6"/>
        <v>0</v>
      </c>
      <c r="Q24" s="6" t="str">
        <f t="shared" si="7"/>
        <v/>
      </c>
      <c r="R24" s="13"/>
      <c r="S24" s="16">
        <v>5000</v>
      </c>
      <c r="T24" s="5">
        <f t="shared" si="8"/>
        <v>-5000</v>
      </c>
      <c r="U24" s="6">
        <f t="shared" si="9"/>
        <v>0</v>
      </c>
      <c r="V24" s="13"/>
      <c r="W24" s="14"/>
      <c r="X24" s="5">
        <f t="shared" si="10"/>
        <v>0</v>
      </c>
      <c r="Y24" s="6" t="str">
        <f t="shared" si="11"/>
        <v/>
      </c>
      <c r="Z24" s="15">
        <f>86650</f>
        <v>86650</v>
      </c>
      <c r="AA24" s="16">
        <f>75000</f>
        <v>75000</v>
      </c>
      <c r="AB24" s="5">
        <f t="shared" si="12"/>
        <v>11650</v>
      </c>
      <c r="AC24" s="6">
        <f t="shared" si="13"/>
        <v>1.1553333333333333</v>
      </c>
      <c r="AD24" s="15">
        <f t="shared" si="14"/>
        <v>166710</v>
      </c>
      <c r="AE24" s="16">
        <f t="shared" si="15"/>
        <v>195000</v>
      </c>
      <c r="AF24" s="5">
        <f t="shared" si="16"/>
        <v>-28290</v>
      </c>
      <c r="AG24" s="6">
        <f t="shared" si="17"/>
        <v>0.8549230769230769</v>
      </c>
    </row>
    <row r="25" spans="1:33" ht="14.25" customHeight="1" x14ac:dyDescent="0.45">
      <c r="A25" s="3" t="s">
        <v>31</v>
      </c>
      <c r="B25" s="13"/>
      <c r="C25" s="14"/>
      <c r="D25" s="5">
        <f t="shared" si="0"/>
        <v>0</v>
      </c>
      <c r="E25" s="6" t="str">
        <f t="shared" si="1"/>
        <v/>
      </c>
      <c r="F25" s="15">
        <f>1335</f>
        <v>1335</v>
      </c>
      <c r="G25" s="14">
        <v>85000</v>
      </c>
      <c r="H25" s="5">
        <f t="shared" si="2"/>
        <v>-83665</v>
      </c>
      <c r="I25" s="6">
        <f t="shared" si="3"/>
        <v>1.5705882352941177E-2</v>
      </c>
      <c r="J25" s="15">
        <f>3500</f>
        <v>3500</v>
      </c>
      <c r="K25" s="16">
        <v>4000</v>
      </c>
      <c r="L25" s="5">
        <f t="shared" si="4"/>
        <v>-500</v>
      </c>
      <c r="M25" s="6">
        <f t="shared" si="5"/>
        <v>0.875</v>
      </c>
      <c r="N25" s="13"/>
      <c r="O25" s="14"/>
      <c r="P25" s="5">
        <f t="shared" si="6"/>
        <v>0</v>
      </c>
      <c r="Q25" s="6" t="str">
        <f t="shared" si="7"/>
        <v/>
      </c>
      <c r="R25" s="13"/>
      <c r="S25" s="14"/>
      <c r="T25" s="5">
        <f t="shared" si="8"/>
        <v>0</v>
      </c>
      <c r="U25" s="6" t="str">
        <f t="shared" si="9"/>
        <v/>
      </c>
      <c r="V25" s="13"/>
      <c r="W25" s="14"/>
      <c r="X25" s="5">
        <f t="shared" si="10"/>
        <v>0</v>
      </c>
      <c r="Y25" s="6" t="str">
        <f t="shared" si="11"/>
        <v/>
      </c>
      <c r="Z25" s="13"/>
      <c r="AA25" s="14"/>
      <c r="AB25" s="5">
        <f t="shared" si="12"/>
        <v>0</v>
      </c>
      <c r="AC25" s="6" t="str">
        <f t="shared" si="13"/>
        <v/>
      </c>
      <c r="AD25" s="15">
        <f t="shared" si="14"/>
        <v>4835</v>
      </c>
      <c r="AE25" s="16">
        <f t="shared" si="15"/>
        <v>89000</v>
      </c>
      <c r="AF25" s="5">
        <f t="shared" si="16"/>
        <v>-84165</v>
      </c>
      <c r="AG25" s="6">
        <f t="shared" si="17"/>
        <v>5.4325842696629212E-2</v>
      </c>
    </row>
    <row r="26" spans="1:33" ht="14.25" customHeight="1" x14ac:dyDescent="0.45">
      <c r="A26" s="3" t="s">
        <v>32</v>
      </c>
      <c r="B26" s="13"/>
      <c r="C26" s="14"/>
      <c r="D26" s="5">
        <f t="shared" si="0"/>
        <v>0</v>
      </c>
      <c r="E26" s="6" t="str">
        <f t="shared" si="1"/>
        <v/>
      </c>
      <c r="F26" s="15">
        <f>5500</f>
        <v>5500</v>
      </c>
      <c r="G26" s="16">
        <f>6500</f>
        <v>6500</v>
      </c>
      <c r="H26" s="5">
        <f t="shared" si="2"/>
        <v>-1000</v>
      </c>
      <c r="I26" s="6">
        <f t="shared" si="3"/>
        <v>0.84615384615384615</v>
      </c>
      <c r="J26" s="13"/>
      <c r="K26" s="14"/>
      <c r="L26" s="5">
        <f t="shared" si="4"/>
        <v>0</v>
      </c>
      <c r="M26" s="6" t="str">
        <f t="shared" si="5"/>
        <v/>
      </c>
      <c r="N26" s="13"/>
      <c r="O26" s="14"/>
      <c r="P26" s="5">
        <f t="shared" si="6"/>
        <v>0</v>
      </c>
      <c r="Q26" s="6" t="str">
        <f t="shared" si="7"/>
        <v/>
      </c>
      <c r="R26" s="13"/>
      <c r="S26" s="14"/>
      <c r="T26" s="5">
        <f t="shared" si="8"/>
        <v>0</v>
      </c>
      <c r="U26" s="6" t="str">
        <f t="shared" si="9"/>
        <v/>
      </c>
      <c r="V26" s="13"/>
      <c r="W26" s="14"/>
      <c r="X26" s="5">
        <f t="shared" si="10"/>
        <v>0</v>
      </c>
      <c r="Y26" s="6" t="str">
        <f t="shared" si="11"/>
        <v/>
      </c>
      <c r="Z26" s="13"/>
      <c r="AA26" s="14"/>
      <c r="AB26" s="5">
        <f t="shared" si="12"/>
        <v>0</v>
      </c>
      <c r="AC26" s="6" t="str">
        <f t="shared" si="13"/>
        <v/>
      </c>
      <c r="AD26" s="15">
        <f t="shared" si="14"/>
        <v>5500</v>
      </c>
      <c r="AE26" s="16">
        <f t="shared" si="15"/>
        <v>6500</v>
      </c>
      <c r="AF26" s="5">
        <f t="shared" si="16"/>
        <v>-1000</v>
      </c>
      <c r="AG26" s="6">
        <f t="shared" si="17"/>
        <v>0.84615384615384615</v>
      </c>
    </row>
    <row r="27" spans="1:33" ht="14.25" customHeight="1" x14ac:dyDescent="0.45">
      <c r="A27" s="3" t="s">
        <v>33</v>
      </c>
      <c r="B27" s="15">
        <f>765</f>
        <v>765</v>
      </c>
      <c r="C27" s="16">
        <v>1000</v>
      </c>
      <c r="D27" s="5">
        <f t="shared" si="0"/>
        <v>-235</v>
      </c>
      <c r="E27" s="6">
        <f t="shared" si="1"/>
        <v>0.76500000000000001</v>
      </c>
      <c r="F27" s="13"/>
      <c r="G27" s="14"/>
      <c r="H27" s="5">
        <f t="shared" si="2"/>
        <v>0</v>
      </c>
      <c r="I27" s="6" t="str">
        <f t="shared" si="3"/>
        <v/>
      </c>
      <c r="J27" s="13"/>
      <c r="K27" s="14"/>
      <c r="L27" s="5">
        <f t="shared" si="4"/>
        <v>0</v>
      </c>
      <c r="M27" s="6" t="str">
        <f t="shared" si="5"/>
        <v/>
      </c>
      <c r="N27" s="13"/>
      <c r="O27" s="14"/>
      <c r="P27" s="5">
        <f t="shared" si="6"/>
        <v>0</v>
      </c>
      <c r="Q27" s="6" t="str">
        <f t="shared" si="7"/>
        <v/>
      </c>
      <c r="R27" s="13"/>
      <c r="S27" s="14"/>
      <c r="T27" s="5">
        <f t="shared" si="8"/>
        <v>0</v>
      </c>
      <c r="U27" s="6" t="str">
        <f t="shared" si="9"/>
        <v/>
      </c>
      <c r="V27" s="13"/>
      <c r="W27" s="14"/>
      <c r="X27" s="5">
        <f t="shared" si="10"/>
        <v>0</v>
      </c>
      <c r="Y27" s="6" t="str">
        <f t="shared" si="11"/>
        <v/>
      </c>
      <c r="Z27" s="13"/>
      <c r="AA27" s="14"/>
      <c r="AB27" s="5">
        <f t="shared" si="12"/>
        <v>0</v>
      </c>
      <c r="AC27" s="6" t="str">
        <f t="shared" si="13"/>
        <v/>
      </c>
      <c r="AD27" s="15">
        <f t="shared" si="14"/>
        <v>765</v>
      </c>
      <c r="AE27" s="16">
        <f t="shared" si="15"/>
        <v>1000</v>
      </c>
      <c r="AF27" s="5">
        <f t="shared" si="16"/>
        <v>-235</v>
      </c>
      <c r="AG27" s="6">
        <f t="shared" si="17"/>
        <v>0.76500000000000001</v>
      </c>
    </row>
    <row r="28" spans="1:33" ht="14.25" customHeight="1" x14ac:dyDescent="0.45">
      <c r="A28" s="3" t="s">
        <v>34</v>
      </c>
      <c r="B28" s="17">
        <f>((((((((((((((((((((B7)+(B8))+(B9))+(B10))+(B11))+(B12))+(B13))+(B14))+(B15))+(B16))+(B17))+(B18))+(B19))+(B20))+(B21))+(B22))+(B23))+(B24))+(B25))+(B26))+(B27)</f>
        <v>608124.25</v>
      </c>
      <c r="C28" s="18">
        <f>((((((((((((((((((((C7)+(C8))+(C9))+(C10))+(C11))+(C12))+(C13))+(C14))+(C15))+(C16))+(C17))+(C18))+(C19))+(C20))+(C21))+(C22))+(C23))+(C24))+(C25))+(C26))+(C27)</f>
        <v>582000</v>
      </c>
      <c r="D28" s="7">
        <f t="shared" si="0"/>
        <v>26124.25</v>
      </c>
      <c r="E28" s="8">
        <f t="shared" si="1"/>
        <v>1.0448870274914088</v>
      </c>
      <c r="F28" s="17">
        <f>((((((((((((((((((((F7)+(F8))+(F9))+(F10))+(F11))+(F12))+(F13))+(F14))+(F15))+(F16))+(F17))+(F18))+(F19))+(F20))+(F21))+(F22))+(F23))+(F24))+(F25))+(F26))+(F27)</f>
        <v>86218.7</v>
      </c>
      <c r="G28" s="18">
        <f>((((((((((((((((((((G7)+(G8))+(G9))+(G10))+(G11))+(G12))+(G13))+(G14))+(G15))+(G16))+(G17))+(G18))+(G19))+(G20))+(G21))+(G22))+(G23))+(G24))+(G25))+(G26))+(G27)</f>
        <v>193000</v>
      </c>
      <c r="H28" s="7">
        <f t="shared" si="2"/>
        <v>-106781.3</v>
      </c>
      <c r="I28" s="8">
        <f t="shared" si="3"/>
        <v>0.44672901554404143</v>
      </c>
      <c r="J28" s="17">
        <f>((((((((((((((((((((J7)+(J8))+(J9))+(J10))+(J11))+(J12))+(J13))+(J14))+(J15))+(J16))+(J17))+(J18))+(J19))+(J20))+(J21))+(J22))+(J23))+(J24))+(J25))+(J26))+(J27)</f>
        <v>59845</v>
      </c>
      <c r="K28" s="18">
        <f>((((((((((((((((((((K7)+(K8))+(K9))+(K10))+(K11))+(K12))+(K13))+(K14))+(K15))+(K16))+(K17))+(K18))+(K19))+(K20))+(K21))+(K22))+(K23))+(K24))+(K25))+(K26))+(K27)</f>
        <v>61750</v>
      </c>
      <c r="L28" s="7">
        <f t="shared" si="4"/>
        <v>-1905</v>
      </c>
      <c r="M28" s="8">
        <f t="shared" si="5"/>
        <v>0.96914979757085018</v>
      </c>
      <c r="N28" s="17">
        <f>((((((((((((((((((((N7)+(N8))+(N9))+(N10))+(N11))+(N12))+(N13))+(N14))+(N15))+(N16))+(N17))+(N18))+(N19))+(N20))+(N21))+(N22))+(N23))+(N24))+(N25))+(N26))+(N27)</f>
        <v>527825.39</v>
      </c>
      <c r="O28" s="18">
        <f>((((((((((((((((((((O7)+(O8))+(O9))+(O10))+(O11))+(O12))+(O13))+(O14))+(O15))+(O16))+(O17))+(O18))+(O19))+(O20))+(O21))+(O22))+(O23))+(O24))+(O25))+(O26))+(O27)</f>
        <v>490000</v>
      </c>
      <c r="P28" s="7">
        <f t="shared" si="6"/>
        <v>37825.390000000014</v>
      </c>
      <c r="Q28" s="8">
        <f t="shared" si="7"/>
        <v>1.0771946734693878</v>
      </c>
      <c r="R28" s="17">
        <f>((((((((((((((((((((R7)+(R8))+(R9))+(R10))+(R11))+(R12))+(R13))+(R14))+(R15))+(R16))+(R17))+(R18))+(R19))+(R20))+(R21))+(R22))+(R23))+(R24))+(R25))+(R26))+(R27)</f>
        <v>502260.95</v>
      </c>
      <c r="S28" s="18">
        <f>((((((((((((((((((((S7)+(S8))+(S9))+(S10))+(S11))+(S12))+(S13))+(S14))+(S15))+(S16))+(S17))+(S18))+(S19))+(S20))+(S21))+(S22))+(S23))+(S24))+(S25))+(S26))+(S27)</f>
        <v>441000</v>
      </c>
      <c r="T28" s="7">
        <f t="shared" si="8"/>
        <v>61260.950000000012</v>
      </c>
      <c r="U28" s="8">
        <f t="shared" si="9"/>
        <v>1.1389137188208618</v>
      </c>
      <c r="V28" s="17">
        <f>((((((((((((((((((((V7)+(V8))+(V9))+(V10))+(V11))+(V12))+(V13))+(V14))+(V15))+(V16))+(V17))+(V18))+(V19))+(V20))+(V21))+(V22))+(V23))+(V24))+(V25))+(V26))+(V27)</f>
        <v>819554.73</v>
      </c>
      <c r="W28" s="18">
        <f>((((((((((((((((((((W7)+(W8))+(W9))+(W10))+(W11))+(W12))+(W13))+(W14))+(W15))+(W16))+(W17))+(W18))+(W19))+(W20))+(W21))+(W22))+(W23))+(W24))+(W25))+(W26))+(W27)</f>
        <v>747000</v>
      </c>
      <c r="X28" s="7">
        <f t="shared" si="10"/>
        <v>72554.729999999981</v>
      </c>
      <c r="Y28" s="8">
        <f t="shared" si="11"/>
        <v>1.0971281526104417</v>
      </c>
      <c r="Z28" s="17">
        <f>((((((((((((((((((((Z7)+(Z8))+(Z9))+(Z10))+(Z11))+(Z12))+(Z13))+(Z14))+(Z15))+(Z16))+(Z17))+(Z18))+(Z19))+(Z20))+(Z21))+(Z22))+(Z23))+(Z24))+(Z25))+(Z26))+(Z27)</f>
        <v>236383.02</v>
      </c>
      <c r="AA28" s="18">
        <f>((((((((((((((((((((AA7)+(AA8))+(AA9))+(AA10))+(AA11))+(AA12))+(AA13))+(AA14))+(AA15))+(AA16))+(AA17))+(AA18))+(AA19))+(AA20))+(AA21))+(AA22))+(AA23))+(AA24))+(AA25))+(AA26))+(AA27)</f>
        <v>220000</v>
      </c>
      <c r="AB28" s="7">
        <f t="shared" si="12"/>
        <v>16383.01999999999</v>
      </c>
      <c r="AC28" s="8">
        <f t="shared" si="13"/>
        <v>1.0744682727272727</v>
      </c>
      <c r="AD28" s="17">
        <f t="shared" si="14"/>
        <v>2840212.0399999996</v>
      </c>
      <c r="AE28" s="18">
        <f t="shared" si="15"/>
        <v>2734750</v>
      </c>
      <c r="AF28" s="7">
        <f t="shared" si="16"/>
        <v>105462.03999999957</v>
      </c>
      <c r="AG28" s="8">
        <f t="shared" si="17"/>
        <v>1.0385636858945058</v>
      </c>
    </row>
    <row r="29" spans="1:33" ht="14.25" customHeight="1" x14ac:dyDescent="0.45">
      <c r="A29" s="3" t="s">
        <v>35</v>
      </c>
      <c r="B29" s="17">
        <f>(B28)-(0)</f>
        <v>608124.25</v>
      </c>
      <c r="C29" s="18">
        <f>(C28)-(0)</f>
        <v>582000</v>
      </c>
      <c r="D29" s="7">
        <f t="shared" si="0"/>
        <v>26124.25</v>
      </c>
      <c r="E29" s="8">
        <f t="shared" si="1"/>
        <v>1.0448870274914088</v>
      </c>
      <c r="F29" s="17">
        <f>(F28)-(0)</f>
        <v>86218.7</v>
      </c>
      <c r="G29" s="18">
        <f>(G28)-(0)</f>
        <v>193000</v>
      </c>
      <c r="H29" s="7">
        <f t="shared" si="2"/>
        <v>-106781.3</v>
      </c>
      <c r="I29" s="8">
        <f t="shared" si="3"/>
        <v>0.44672901554404143</v>
      </c>
      <c r="J29" s="17">
        <f>(J28)-(0)</f>
        <v>59845</v>
      </c>
      <c r="K29" s="18">
        <f>(K28)-(0)</f>
        <v>61750</v>
      </c>
      <c r="L29" s="7">
        <f t="shared" si="4"/>
        <v>-1905</v>
      </c>
      <c r="M29" s="8">
        <f t="shared" si="5"/>
        <v>0.96914979757085018</v>
      </c>
      <c r="N29" s="17">
        <f>(N28)-(0)</f>
        <v>527825.39</v>
      </c>
      <c r="O29" s="18">
        <f>(O28)-(0)</f>
        <v>490000</v>
      </c>
      <c r="P29" s="7">
        <f t="shared" si="6"/>
        <v>37825.390000000014</v>
      </c>
      <c r="Q29" s="8">
        <f t="shared" si="7"/>
        <v>1.0771946734693878</v>
      </c>
      <c r="R29" s="17">
        <f>(R28)-(0)</f>
        <v>502260.95</v>
      </c>
      <c r="S29" s="18">
        <f>(S28)-(0)</f>
        <v>441000</v>
      </c>
      <c r="T29" s="7">
        <f t="shared" si="8"/>
        <v>61260.950000000012</v>
      </c>
      <c r="U29" s="8">
        <f t="shared" si="9"/>
        <v>1.1389137188208618</v>
      </c>
      <c r="V29" s="17">
        <f>(V28)-(0)</f>
        <v>819554.73</v>
      </c>
      <c r="W29" s="18">
        <f>(W28)-(0)</f>
        <v>747000</v>
      </c>
      <c r="X29" s="7">
        <f t="shared" si="10"/>
        <v>72554.729999999981</v>
      </c>
      <c r="Y29" s="8">
        <f t="shared" si="11"/>
        <v>1.0971281526104417</v>
      </c>
      <c r="Z29" s="17">
        <f>(Z28)-(0)</f>
        <v>236383.02</v>
      </c>
      <c r="AA29" s="18">
        <f>(AA28)-(0)</f>
        <v>220000</v>
      </c>
      <c r="AB29" s="7">
        <f t="shared" si="12"/>
        <v>16383.01999999999</v>
      </c>
      <c r="AC29" s="8">
        <f t="shared" si="13"/>
        <v>1.0744682727272727</v>
      </c>
      <c r="AD29" s="17">
        <f t="shared" si="14"/>
        <v>2840212.0399999996</v>
      </c>
      <c r="AE29" s="18">
        <f t="shared" si="15"/>
        <v>2734750</v>
      </c>
      <c r="AF29" s="7">
        <f t="shared" si="16"/>
        <v>105462.03999999957</v>
      </c>
      <c r="AG29" s="8">
        <f t="shared" si="17"/>
        <v>1.0385636858945058</v>
      </c>
    </row>
    <row r="30" spans="1:33" ht="14.25" customHeight="1" x14ac:dyDescent="0.45">
      <c r="A30" s="3" t="s">
        <v>36</v>
      </c>
      <c r="B30" s="13"/>
      <c r="C30" s="14"/>
      <c r="D30" s="4"/>
      <c r="E30" s="4"/>
      <c r="F30" s="13"/>
      <c r="G30" s="14"/>
      <c r="H30" s="4"/>
      <c r="I30" s="4"/>
      <c r="J30" s="13"/>
      <c r="K30" s="14"/>
      <c r="L30" s="4"/>
      <c r="M30" s="4"/>
      <c r="N30" s="13"/>
      <c r="O30" s="14"/>
      <c r="P30" s="4"/>
      <c r="Q30" s="4"/>
      <c r="R30" s="13"/>
      <c r="S30" s="14"/>
      <c r="T30" s="4"/>
      <c r="U30" s="4"/>
      <c r="V30" s="13"/>
      <c r="W30" s="14"/>
      <c r="X30" s="4"/>
      <c r="Y30" s="4"/>
      <c r="Z30" s="13"/>
      <c r="AA30" s="14"/>
      <c r="AB30" s="4"/>
      <c r="AC30" s="4"/>
      <c r="AD30" s="13"/>
      <c r="AE30" s="14"/>
      <c r="AF30" s="4"/>
      <c r="AG30" s="4"/>
    </row>
    <row r="31" spans="1:33" ht="14.25" customHeight="1" x14ac:dyDescent="0.45">
      <c r="A31" s="3" t="s">
        <v>37</v>
      </c>
      <c r="B31" s="13"/>
      <c r="C31" s="14"/>
      <c r="D31" s="5">
        <f t="shared" ref="D31:D62" si="18">(B31)-(C31)</f>
        <v>0</v>
      </c>
      <c r="E31" s="6" t="str">
        <f t="shared" ref="E31:E62" si="19">IF(C31=0,"",(B31)/(C31))</f>
        <v/>
      </c>
      <c r="F31" s="13"/>
      <c r="G31" s="14"/>
      <c r="H31" s="5">
        <f t="shared" ref="H31:H62" si="20">(F31)-(G31)</f>
        <v>0</v>
      </c>
      <c r="I31" s="6" t="str">
        <f t="shared" ref="I31:I62" si="21">IF(G31=0,"",(F31)/(G31))</f>
        <v/>
      </c>
      <c r="J31" s="13"/>
      <c r="K31" s="14"/>
      <c r="L31" s="5">
        <f t="shared" ref="L31:L62" si="22">(J31)-(K31)</f>
        <v>0</v>
      </c>
      <c r="M31" s="6" t="str">
        <f t="shared" ref="M31:M62" si="23">IF(K31=0,"",(J31)/(K31))</f>
        <v/>
      </c>
      <c r="N31" s="13"/>
      <c r="O31" s="14"/>
      <c r="P31" s="5">
        <f t="shared" ref="P31:P62" si="24">(N31)-(O31)</f>
        <v>0</v>
      </c>
      <c r="Q31" s="6" t="str">
        <f t="shared" ref="Q31:Q62" si="25">IF(O31=0,"",(N31)/(O31))</f>
        <v/>
      </c>
      <c r="R31" s="13"/>
      <c r="S31" s="14"/>
      <c r="T31" s="5">
        <f t="shared" ref="T31:T62" si="26">(R31)-(S31)</f>
        <v>0</v>
      </c>
      <c r="U31" s="6" t="str">
        <f t="shared" ref="U31:U62" si="27">IF(S31=0,"",(R31)/(S31))</f>
        <v/>
      </c>
      <c r="V31" s="13"/>
      <c r="W31" s="14"/>
      <c r="X31" s="5">
        <f t="shared" ref="X31:X62" si="28">(V31)-(W31)</f>
        <v>0</v>
      </c>
      <c r="Y31" s="6" t="str">
        <f t="shared" ref="Y31:Y62" si="29">IF(W31=0,"",(V31)/(W31))</f>
        <v/>
      </c>
      <c r="Z31" s="15">
        <f>75934.61</f>
        <v>75934.61</v>
      </c>
      <c r="AA31" s="16">
        <v>45000</v>
      </c>
      <c r="AB31" s="5">
        <f t="shared" ref="AB31:AB62" si="30">(Z31)-(AA31)</f>
        <v>30934.61</v>
      </c>
      <c r="AC31" s="6">
        <f t="shared" ref="AC31:AC62" si="31">IF(AA31=0,"",(Z31)/(AA31))</f>
        <v>1.6874357777777778</v>
      </c>
      <c r="AD31" s="15">
        <f t="shared" ref="AD31:AD62" si="32">((((((B31)+(F31))+(J31))+(N31))+(R31))+(V31))+(Z31)</f>
        <v>75934.61</v>
      </c>
      <c r="AE31" s="16">
        <f t="shared" ref="AE31:AE62" si="33">((((((C31)+(G31))+(K31))+(O31))+(S31))+(W31))+(AA31)</f>
        <v>45000</v>
      </c>
      <c r="AF31" s="5">
        <f t="shared" ref="AF31:AF62" si="34">(AD31)-(AE31)</f>
        <v>30934.61</v>
      </c>
      <c r="AG31" s="6">
        <f t="shared" ref="AG31:AG62" si="35">IF(AE31=0,"",(AD31)/(AE31))</f>
        <v>1.6874357777777778</v>
      </c>
    </row>
    <row r="32" spans="1:33" ht="14.25" customHeight="1" x14ac:dyDescent="0.45">
      <c r="A32" s="3" t="s">
        <v>38</v>
      </c>
      <c r="B32" s="15">
        <f>2194</f>
        <v>2194</v>
      </c>
      <c r="C32" s="16">
        <v>1000</v>
      </c>
      <c r="D32" s="5">
        <f t="shared" si="18"/>
        <v>1194</v>
      </c>
      <c r="E32" s="6">
        <f t="shared" si="19"/>
        <v>2.194</v>
      </c>
      <c r="F32" s="13"/>
      <c r="G32" s="14"/>
      <c r="H32" s="5">
        <f t="shared" si="20"/>
        <v>0</v>
      </c>
      <c r="I32" s="6" t="str">
        <f t="shared" si="21"/>
        <v/>
      </c>
      <c r="J32" s="13"/>
      <c r="K32" s="14"/>
      <c r="L32" s="5">
        <f t="shared" si="22"/>
        <v>0</v>
      </c>
      <c r="M32" s="6" t="str">
        <f t="shared" si="23"/>
        <v/>
      </c>
      <c r="N32" s="13"/>
      <c r="O32" s="14"/>
      <c r="P32" s="5">
        <f t="shared" si="24"/>
        <v>0</v>
      </c>
      <c r="Q32" s="6" t="str">
        <f t="shared" si="25"/>
        <v/>
      </c>
      <c r="R32" s="13"/>
      <c r="S32" s="14"/>
      <c r="T32" s="5">
        <f t="shared" si="26"/>
        <v>0</v>
      </c>
      <c r="U32" s="6" t="str">
        <f t="shared" si="27"/>
        <v/>
      </c>
      <c r="V32" s="13"/>
      <c r="W32" s="14"/>
      <c r="X32" s="5">
        <f t="shared" si="28"/>
        <v>0</v>
      </c>
      <c r="Y32" s="6" t="str">
        <f t="shared" si="29"/>
        <v/>
      </c>
      <c r="Z32" s="13"/>
      <c r="AA32" s="14"/>
      <c r="AB32" s="5">
        <f t="shared" si="30"/>
        <v>0</v>
      </c>
      <c r="AC32" s="6" t="str">
        <f t="shared" si="31"/>
        <v/>
      </c>
      <c r="AD32" s="15">
        <f t="shared" si="32"/>
        <v>2194</v>
      </c>
      <c r="AE32" s="16">
        <f t="shared" si="33"/>
        <v>1000</v>
      </c>
      <c r="AF32" s="5">
        <f t="shared" si="34"/>
        <v>1194</v>
      </c>
      <c r="AG32" s="6">
        <f t="shared" si="35"/>
        <v>2.194</v>
      </c>
    </row>
    <row r="33" spans="1:33" ht="14.25" customHeight="1" x14ac:dyDescent="0.45">
      <c r="A33" s="3" t="s">
        <v>39</v>
      </c>
      <c r="B33" s="13"/>
      <c r="C33" s="14"/>
      <c r="D33" s="5">
        <f t="shared" si="18"/>
        <v>0</v>
      </c>
      <c r="E33" s="6" t="str">
        <f t="shared" si="19"/>
        <v/>
      </c>
      <c r="F33" s="13"/>
      <c r="G33" s="14"/>
      <c r="H33" s="5">
        <f t="shared" si="20"/>
        <v>0</v>
      </c>
      <c r="I33" s="6" t="str">
        <f t="shared" si="21"/>
        <v/>
      </c>
      <c r="J33" s="15">
        <f>10.75</f>
        <v>10.75</v>
      </c>
      <c r="K33" s="14">
        <v>100</v>
      </c>
      <c r="L33" s="5">
        <f t="shared" si="22"/>
        <v>-89.25</v>
      </c>
      <c r="M33" s="6">
        <f t="shared" si="23"/>
        <v>0.1075</v>
      </c>
      <c r="N33" s="15">
        <f>1575.56</f>
        <v>1575.56</v>
      </c>
      <c r="O33" s="16">
        <v>1500</v>
      </c>
      <c r="P33" s="5">
        <f t="shared" si="24"/>
        <v>75.559999999999945</v>
      </c>
      <c r="Q33" s="6">
        <f t="shared" si="25"/>
        <v>1.0503733333333334</v>
      </c>
      <c r="R33" s="13"/>
      <c r="S33" s="14"/>
      <c r="T33" s="5">
        <f t="shared" si="26"/>
        <v>0</v>
      </c>
      <c r="U33" s="6" t="str">
        <f t="shared" si="27"/>
        <v/>
      </c>
      <c r="V33" s="13"/>
      <c r="W33" s="14"/>
      <c r="X33" s="5">
        <f t="shared" si="28"/>
        <v>0</v>
      </c>
      <c r="Y33" s="6" t="str">
        <f t="shared" si="29"/>
        <v/>
      </c>
      <c r="Z33" s="15">
        <f>4143.18</f>
        <v>4143.18</v>
      </c>
      <c r="AA33" s="16">
        <v>4500</v>
      </c>
      <c r="AB33" s="5">
        <f t="shared" si="30"/>
        <v>-356.81999999999971</v>
      </c>
      <c r="AC33" s="6">
        <f t="shared" si="31"/>
        <v>0.92070666666666678</v>
      </c>
      <c r="AD33" s="15">
        <f t="shared" si="32"/>
        <v>5729.49</v>
      </c>
      <c r="AE33" s="16">
        <f t="shared" si="33"/>
        <v>6100</v>
      </c>
      <c r="AF33" s="5">
        <f t="shared" si="34"/>
        <v>-370.51000000000022</v>
      </c>
      <c r="AG33" s="6">
        <f t="shared" si="35"/>
        <v>0.9392606557377049</v>
      </c>
    </row>
    <row r="34" spans="1:33" ht="14.25" customHeight="1" x14ac:dyDescent="0.45">
      <c r="A34" s="3" t="s">
        <v>40</v>
      </c>
      <c r="B34" s="13"/>
      <c r="C34" s="14"/>
      <c r="D34" s="5">
        <f t="shared" si="18"/>
        <v>0</v>
      </c>
      <c r="E34" s="6" t="str">
        <f t="shared" si="19"/>
        <v/>
      </c>
      <c r="F34" s="13"/>
      <c r="G34" s="14"/>
      <c r="H34" s="5">
        <f t="shared" si="20"/>
        <v>0</v>
      </c>
      <c r="I34" s="6" t="str">
        <f t="shared" si="21"/>
        <v/>
      </c>
      <c r="J34" s="13"/>
      <c r="K34" s="14"/>
      <c r="L34" s="5">
        <f t="shared" si="22"/>
        <v>0</v>
      </c>
      <c r="M34" s="6" t="str">
        <f t="shared" si="23"/>
        <v/>
      </c>
      <c r="N34" s="13"/>
      <c r="O34" s="14"/>
      <c r="P34" s="5">
        <f t="shared" si="24"/>
        <v>0</v>
      </c>
      <c r="Q34" s="6" t="str">
        <f t="shared" si="25"/>
        <v/>
      </c>
      <c r="R34" s="13"/>
      <c r="S34" s="14"/>
      <c r="T34" s="5">
        <f t="shared" si="26"/>
        <v>0</v>
      </c>
      <c r="U34" s="6" t="str">
        <f t="shared" si="27"/>
        <v/>
      </c>
      <c r="V34" s="13"/>
      <c r="W34" s="16">
        <v>10000</v>
      </c>
      <c r="X34" s="5">
        <f t="shared" si="28"/>
        <v>-10000</v>
      </c>
      <c r="Y34" s="6">
        <f t="shared" si="29"/>
        <v>0</v>
      </c>
      <c r="Z34" s="15">
        <f>5400</f>
        <v>5400</v>
      </c>
      <c r="AA34" s="16">
        <v>35000</v>
      </c>
      <c r="AB34" s="5">
        <f t="shared" si="30"/>
        <v>-29600</v>
      </c>
      <c r="AC34" s="6">
        <f t="shared" si="31"/>
        <v>0.15428571428571428</v>
      </c>
      <c r="AD34" s="15">
        <f t="shared" si="32"/>
        <v>5400</v>
      </c>
      <c r="AE34" s="16">
        <f t="shared" si="33"/>
        <v>45000</v>
      </c>
      <c r="AF34" s="5">
        <f t="shared" si="34"/>
        <v>-39600</v>
      </c>
      <c r="AG34" s="6">
        <f t="shared" si="35"/>
        <v>0.12</v>
      </c>
    </row>
    <row r="35" spans="1:33" ht="14.25" customHeight="1" x14ac:dyDescent="0.45">
      <c r="A35" s="3" t="s">
        <v>41</v>
      </c>
      <c r="B35" s="13"/>
      <c r="C35" s="14"/>
      <c r="D35" s="5">
        <f t="shared" si="18"/>
        <v>0</v>
      </c>
      <c r="E35" s="6" t="str">
        <f t="shared" si="19"/>
        <v/>
      </c>
      <c r="F35" s="13"/>
      <c r="G35" s="14"/>
      <c r="H35" s="5">
        <f t="shared" si="20"/>
        <v>0</v>
      </c>
      <c r="I35" s="6" t="str">
        <f t="shared" si="21"/>
        <v/>
      </c>
      <c r="J35" s="13"/>
      <c r="K35" s="14"/>
      <c r="L35" s="5">
        <f t="shared" si="22"/>
        <v>0</v>
      </c>
      <c r="M35" s="6" t="str">
        <f t="shared" si="23"/>
        <v/>
      </c>
      <c r="N35" s="15">
        <f>1188</f>
        <v>1188</v>
      </c>
      <c r="O35" s="16">
        <v>1200</v>
      </c>
      <c r="P35" s="5">
        <f t="shared" si="24"/>
        <v>-12</v>
      </c>
      <c r="Q35" s="6">
        <f t="shared" si="25"/>
        <v>0.99</v>
      </c>
      <c r="R35" s="13"/>
      <c r="S35" s="14">
        <v>500</v>
      </c>
      <c r="T35" s="5">
        <f t="shared" si="26"/>
        <v>-500</v>
      </c>
      <c r="U35" s="6">
        <f t="shared" si="27"/>
        <v>0</v>
      </c>
      <c r="V35" s="13"/>
      <c r="W35" s="14">
        <v>500</v>
      </c>
      <c r="X35" s="5">
        <f t="shared" si="28"/>
        <v>-500</v>
      </c>
      <c r="Y35" s="6">
        <f t="shared" si="29"/>
        <v>0</v>
      </c>
      <c r="Z35" s="15">
        <f>1456.67</f>
        <v>1456.67</v>
      </c>
      <c r="AA35" s="16">
        <f>1600</f>
        <v>1600</v>
      </c>
      <c r="AB35" s="5">
        <f t="shared" si="30"/>
        <v>-143.32999999999993</v>
      </c>
      <c r="AC35" s="6">
        <f t="shared" si="31"/>
        <v>0.91041875000000005</v>
      </c>
      <c r="AD35" s="15">
        <f t="shared" si="32"/>
        <v>2644.67</v>
      </c>
      <c r="AE35" s="16">
        <f t="shared" si="33"/>
        <v>3800</v>
      </c>
      <c r="AF35" s="5">
        <f t="shared" si="34"/>
        <v>-1155.33</v>
      </c>
      <c r="AG35" s="6">
        <f t="shared" si="35"/>
        <v>0.69596578947368426</v>
      </c>
    </row>
    <row r="36" spans="1:33" ht="14.25" customHeight="1" x14ac:dyDescent="0.45">
      <c r="A36" s="3" t="s">
        <v>42</v>
      </c>
      <c r="B36" s="13"/>
      <c r="C36" s="14"/>
      <c r="D36" s="5">
        <f t="shared" si="18"/>
        <v>0</v>
      </c>
      <c r="E36" s="6" t="str">
        <f t="shared" si="19"/>
        <v/>
      </c>
      <c r="F36" s="13"/>
      <c r="G36" s="14"/>
      <c r="H36" s="5">
        <f t="shared" si="20"/>
        <v>0</v>
      </c>
      <c r="I36" s="6" t="str">
        <f t="shared" si="21"/>
        <v/>
      </c>
      <c r="J36" s="13"/>
      <c r="K36" s="14"/>
      <c r="L36" s="5">
        <f t="shared" si="22"/>
        <v>0</v>
      </c>
      <c r="M36" s="6" t="str">
        <f t="shared" si="23"/>
        <v/>
      </c>
      <c r="N36" s="15">
        <f>30.61</f>
        <v>30.61</v>
      </c>
      <c r="O36" s="14">
        <v>150</v>
      </c>
      <c r="P36" s="5">
        <f t="shared" si="24"/>
        <v>-119.39</v>
      </c>
      <c r="Q36" s="6">
        <f t="shared" si="25"/>
        <v>0.20406666666666667</v>
      </c>
      <c r="R36" s="13"/>
      <c r="S36" s="14"/>
      <c r="T36" s="5">
        <f t="shared" si="26"/>
        <v>0</v>
      </c>
      <c r="U36" s="6" t="str">
        <f t="shared" si="27"/>
        <v/>
      </c>
      <c r="V36" s="13"/>
      <c r="W36" s="14"/>
      <c r="X36" s="5">
        <f t="shared" si="28"/>
        <v>0</v>
      </c>
      <c r="Y36" s="6" t="str">
        <f t="shared" si="29"/>
        <v/>
      </c>
      <c r="Z36" s="15">
        <f>672.02</f>
        <v>672.02</v>
      </c>
      <c r="AA36" s="16">
        <v>1000</v>
      </c>
      <c r="AB36" s="5">
        <f t="shared" si="30"/>
        <v>-327.98</v>
      </c>
      <c r="AC36" s="6">
        <f t="shared" si="31"/>
        <v>0.67201999999999995</v>
      </c>
      <c r="AD36" s="15">
        <f t="shared" si="32"/>
        <v>702.63</v>
      </c>
      <c r="AE36" s="16">
        <f t="shared" si="33"/>
        <v>1150</v>
      </c>
      <c r="AF36" s="5">
        <f t="shared" si="34"/>
        <v>-447.37</v>
      </c>
      <c r="AG36" s="6">
        <f t="shared" si="35"/>
        <v>0.61098260869565213</v>
      </c>
    </row>
    <row r="37" spans="1:33" ht="14.25" customHeight="1" x14ac:dyDescent="0.45">
      <c r="A37" s="3" t="s">
        <v>43</v>
      </c>
      <c r="B37" s="15">
        <f>101.5</f>
        <v>101.5</v>
      </c>
      <c r="C37" s="14">
        <v>150</v>
      </c>
      <c r="D37" s="5">
        <f t="shared" si="18"/>
        <v>-48.5</v>
      </c>
      <c r="E37" s="6">
        <f t="shared" si="19"/>
        <v>0.67666666666666664</v>
      </c>
      <c r="F37" s="13"/>
      <c r="G37" s="14"/>
      <c r="H37" s="5">
        <f t="shared" si="20"/>
        <v>0</v>
      </c>
      <c r="I37" s="6" t="str">
        <f t="shared" si="21"/>
        <v/>
      </c>
      <c r="J37" s="15">
        <f>272.24</f>
        <v>272.24</v>
      </c>
      <c r="K37" s="16">
        <f>300</f>
        <v>300</v>
      </c>
      <c r="L37" s="5">
        <f t="shared" si="22"/>
        <v>-27.759999999999991</v>
      </c>
      <c r="M37" s="6">
        <f t="shared" si="23"/>
        <v>0.90746666666666664</v>
      </c>
      <c r="N37" s="13"/>
      <c r="O37" s="14"/>
      <c r="P37" s="5">
        <f t="shared" si="24"/>
        <v>0</v>
      </c>
      <c r="Q37" s="6" t="str">
        <f t="shared" si="25"/>
        <v/>
      </c>
      <c r="R37" s="13"/>
      <c r="S37" s="14"/>
      <c r="T37" s="5">
        <f t="shared" si="26"/>
        <v>0</v>
      </c>
      <c r="U37" s="6" t="str">
        <f t="shared" si="27"/>
        <v/>
      </c>
      <c r="V37" s="13"/>
      <c r="W37" s="14"/>
      <c r="X37" s="5">
        <f t="shared" si="28"/>
        <v>0</v>
      </c>
      <c r="Y37" s="6" t="str">
        <f t="shared" si="29"/>
        <v/>
      </c>
      <c r="Z37" s="15">
        <f>100</f>
        <v>100</v>
      </c>
      <c r="AA37" s="14">
        <v>500</v>
      </c>
      <c r="AB37" s="5">
        <f t="shared" si="30"/>
        <v>-400</v>
      </c>
      <c r="AC37" s="6">
        <f t="shared" si="31"/>
        <v>0.2</v>
      </c>
      <c r="AD37" s="15">
        <f t="shared" si="32"/>
        <v>473.74</v>
      </c>
      <c r="AE37" s="16">
        <f t="shared" si="33"/>
        <v>950</v>
      </c>
      <c r="AF37" s="5">
        <f t="shared" si="34"/>
        <v>-476.26</v>
      </c>
      <c r="AG37" s="6">
        <f t="shared" si="35"/>
        <v>0.49867368421052632</v>
      </c>
    </row>
    <row r="38" spans="1:33" ht="14.25" customHeight="1" x14ac:dyDescent="0.45">
      <c r="A38" s="3" t="s">
        <v>44</v>
      </c>
      <c r="B38" s="15">
        <f>2842.83</f>
        <v>2842.83</v>
      </c>
      <c r="C38" s="16">
        <v>4000</v>
      </c>
      <c r="D38" s="5">
        <f t="shared" si="18"/>
        <v>-1157.17</v>
      </c>
      <c r="E38" s="6">
        <f t="shared" si="19"/>
        <v>0.71070749999999994</v>
      </c>
      <c r="F38" s="13"/>
      <c r="G38" s="14"/>
      <c r="H38" s="5">
        <f t="shared" si="20"/>
        <v>0</v>
      </c>
      <c r="I38" s="6" t="str">
        <f t="shared" si="21"/>
        <v/>
      </c>
      <c r="J38" s="15">
        <f>193.07</f>
        <v>193.07</v>
      </c>
      <c r="K38" s="16">
        <v>500</v>
      </c>
      <c r="L38" s="5">
        <f t="shared" si="22"/>
        <v>-306.93</v>
      </c>
      <c r="M38" s="6">
        <f t="shared" si="23"/>
        <v>0.38613999999999998</v>
      </c>
      <c r="N38" s="15">
        <f>563.74</f>
        <v>563.74</v>
      </c>
      <c r="O38" s="16">
        <v>1500</v>
      </c>
      <c r="P38" s="5">
        <f t="shared" si="24"/>
        <v>-936.26</v>
      </c>
      <c r="Q38" s="6">
        <f t="shared" si="25"/>
        <v>0.3758266666666667</v>
      </c>
      <c r="R38" s="13"/>
      <c r="S38" s="14"/>
      <c r="T38" s="5">
        <f t="shared" si="26"/>
        <v>0</v>
      </c>
      <c r="U38" s="6" t="str">
        <f t="shared" si="27"/>
        <v/>
      </c>
      <c r="V38" s="15">
        <f>275</f>
        <v>275</v>
      </c>
      <c r="W38" s="16">
        <v>500</v>
      </c>
      <c r="X38" s="5">
        <f t="shared" si="28"/>
        <v>-225</v>
      </c>
      <c r="Y38" s="6">
        <f t="shared" si="29"/>
        <v>0.55000000000000004</v>
      </c>
      <c r="Z38" s="15">
        <f>9066.78</f>
        <v>9066.7800000000007</v>
      </c>
      <c r="AA38" s="16">
        <v>10000</v>
      </c>
      <c r="AB38" s="5">
        <f t="shared" si="30"/>
        <v>-933.21999999999935</v>
      </c>
      <c r="AC38" s="6">
        <f t="shared" si="31"/>
        <v>0.90667800000000009</v>
      </c>
      <c r="AD38" s="15">
        <f t="shared" si="32"/>
        <v>12941.420000000002</v>
      </c>
      <c r="AE38" s="16">
        <f t="shared" si="33"/>
        <v>16500</v>
      </c>
      <c r="AF38" s="5">
        <f t="shared" si="34"/>
        <v>-3558.5799999999981</v>
      </c>
      <c r="AG38" s="6">
        <f t="shared" si="35"/>
        <v>0.78432848484848494</v>
      </c>
    </row>
    <row r="39" spans="1:33" ht="14.25" customHeight="1" x14ac:dyDescent="0.45">
      <c r="A39" s="3" t="s">
        <v>45</v>
      </c>
      <c r="B39" s="13"/>
      <c r="C39" s="14"/>
      <c r="D39" s="5">
        <f t="shared" si="18"/>
        <v>0</v>
      </c>
      <c r="E39" s="6" t="str">
        <f t="shared" si="19"/>
        <v/>
      </c>
      <c r="F39" s="13"/>
      <c r="G39" s="14"/>
      <c r="H39" s="5">
        <f t="shared" si="20"/>
        <v>0</v>
      </c>
      <c r="I39" s="6" t="str">
        <f t="shared" si="21"/>
        <v/>
      </c>
      <c r="J39" s="13"/>
      <c r="K39" s="14"/>
      <c r="L39" s="5">
        <f t="shared" si="22"/>
        <v>0</v>
      </c>
      <c r="M39" s="6" t="str">
        <f t="shared" si="23"/>
        <v/>
      </c>
      <c r="N39" s="15">
        <f>1115.25</f>
        <v>1115.25</v>
      </c>
      <c r="O39" s="16">
        <v>2500</v>
      </c>
      <c r="P39" s="5">
        <f t="shared" si="24"/>
        <v>-1384.75</v>
      </c>
      <c r="Q39" s="6">
        <f t="shared" si="25"/>
        <v>0.4461</v>
      </c>
      <c r="R39" s="15">
        <v>153183.71</v>
      </c>
      <c r="S39" s="16">
        <v>155000</v>
      </c>
      <c r="T39" s="5">
        <f t="shared" si="26"/>
        <v>-1816.2900000000081</v>
      </c>
      <c r="U39" s="6">
        <f t="shared" si="27"/>
        <v>0.98828199999999999</v>
      </c>
      <c r="V39" s="13"/>
      <c r="W39" s="14"/>
      <c r="X39" s="5">
        <f t="shared" si="28"/>
        <v>0</v>
      </c>
      <c r="Y39" s="6" t="str">
        <f t="shared" si="29"/>
        <v/>
      </c>
      <c r="Z39" s="13"/>
      <c r="AA39" s="14"/>
      <c r="AB39" s="5">
        <f t="shared" si="30"/>
        <v>0</v>
      </c>
      <c r="AC39" s="6" t="str">
        <f t="shared" si="31"/>
        <v/>
      </c>
      <c r="AD39" s="15">
        <f t="shared" si="32"/>
        <v>154298.96</v>
      </c>
      <c r="AE39" s="16">
        <f t="shared" si="33"/>
        <v>157500</v>
      </c>
      <c r="AF39" s="5">
        <f t="shared" si="34"/>
        <v>-3201.0400000000081</v>
      </c>
      <c r="AG39" s="6">
        <f t="shared" si="35"/>
        <v>0.9796759365079365</v>
      </c>
    </row>
    <row r="40" spans="1:33" ht="14.25" customHeight="1" x14ac:dyDescent="0.45">
      <c r="A40" s="3" t="s">
        <v>46</v>
      </c>
      <c r="B40" s="13"/>
      <c r="C40" s="14"/>
      <c r="D40" s="5">
        <f t="shared" si="18"/>
        <v>0</v>
      </c>
      <c r="E40" s="6" t="str">
        <f t="shared" si="19"/>
        <v/>
      </c>
      <c r="F40" s="13"/>
      <c r="G40" s="14"/>
      <c r="H40" s="5">
        <f t="shared" si="20"/>
        <v>0</v>
      </c>
      <c r="I40" s="6" t="str">
        <f t="shared" si="21"/>
        <v/>
      </c>
      <c r="J40" s="13"/>
      <c r="K40" s="14"/>
      <c r="L40" s="5">
        <f t="shared" si="22"/>
        <v>0</v>
      </c>
      <c r="M40" s="6" t="str">
        <f t="shared" si="23"/>
        <v/>
      </c>
      <c r="N40" s="13"/>
      <c r="O40" s="14"/>
      <c r="P40" s="5">
        <f t="shared" si="24"/>
        <v>0</v>
      </c>
      <c r="Q40" s="6" t="str">
        <f t="shared" si="25"/>
        <v/>
      </c>
      <c r="R40" s="13"/>
      <c r="S40" s="14"/>
      <c r="T40" s="5">
        <f t="shared" si="26"/>
        <v>0</v>
      </c>
      <c r="U40" s="6" t="str">
        <f t="shared" si="27"/>
        <v/>
      </c>
      <c r="V40" s="13"/>
      <c r="W40" s="14"/>
      <c r="X40" s="5">
        <f t="shared" si="28"/>
        <v>0</v>
      </c>
      <c r="Y40" s="6" t="str">
        <f t="shared" si="29"/>
        <v/>
      </c>
      <c r="Z40" s="13"/>
      <c r="AA40" s="16"/>
      <c r="AB40" s="5">
        <f t="shared" si="30"/>
        <v>0</v>
      </c>
      <c r="AC40" s="6" t="str">
        <f t="shared" si="31"/>
        <v/>
      </c>
      <c r="AD40" s="15">
        <f t="shared" si="32"/>
        <v>0</v>
      </c>
      <c r="AE40" s="16">
        <f t="shared" si="33"/>
        <v>0</v>
      </c>
      <c r="AF40" s="5">
        <f t="shared" si="34"/>
        <v>0</v>
      </c>
      <c r="AG40" s="6" t="str">
        <f t="shared" si="35"/>
        <v/>
      </c>
    </row>
    <row r="41" spans="1:33" ht="14.25" customHeight="1" x14ac:dyDescent="0.45">
      <c r="A41" s="3" t="s">
        <v>47</v>
      </c>
      <c r="B41" s="13"/>
      <c r="C41" s="14"/>
      <c r="D41" s="5">
        <f t="shared" si="18"/>
        <v>0</v>
      </c>
      <c r="E41" s="6" t="str">
        <f t="shared" si="19"/>
        <v/>
      </c>
      <c r="F41" s="13"/>
      <c r="G41" s="14"/>
      <c r="H41" s="5">
        <f t="shared" si="20"/>
        <v>0</v>
      </c>
      <c r="I41" s="6" t="str">
        <f t="shared" si="21"/>
        <v/>
      </c>
      <c r="J41" s="13"/>
      <c r="K41" s="14"/>
      <c r="L41" s="5">
        <f t="shared" si="22"/>
        <v>0</v>
      </c>
      <c r="M41" s="6" t="str">
        <f t="shared" si="23"/>
        <v/>
      </c>
      <c r="N41" s="13"/>
      <c r="O41" s="14"/>
      <c r="P41" s="5">
        <f t="shared" si="24"/>
        <v>0</v>
      </c>
      <c r="Q41" s="6" t="str">
        <f t="shared" si="25"/>
        <v/>
      </c>
      <c r="R41" s="13"/>
      <c r="S41" s="14">
        <v>5000</v>
      </c>
      <c r="T41" s="5">
        <f t="shared" si="26"/>
        <v>-5000</v>
      </c>
      <c r="U41" s="6">
        <f t="shared" si="27"/>
        <v>0</v>
      </c>
      <c r="V41" s="13"/>
      <c r="W41" s="14">
        <v>5000</v>
      </c>
      <c r="X41" s="5">
        <f t="shared" si="28"/>
        <v>-5000</v>
      </c>
      <c r="Y41" s="6">
        <f t="shared" si="29"/>
        <v>0</v>
      </c>
      <c r="Z41" s="15">
        <f>5645.56</f>
        <v>5645.56</v>
      </c>
      <c r="AA41" s="16">
        <v>6000</v>
      </c>
      <c r="AB41" s="5">
        <f t="shared" si="30"/>
        <v>-354.4399999999996</v>
      </c>
      <c r="AC41" s="6">
        <f t="shared" si="31"/>
        <v>0.94092666666666669</v>
      </c>
      <c r="AD41" s="15">
        <f t="shared" si="32"/>
        <v>5645.56</v>
      </c>
      <c r="AE41" s="16">
        <f t="shared" si="33"/>
        <v>16000</v>
      </c>
      <c r="AF41" s="5">
        <f t="shared" si="34"/>
        <v>-10354.439999999999</v>
      </c>
      <c r="AG41" s="6">
        <f t="shared" si="35"/>
        <v>0.35284750000000004</v>
      </c>
    </row>
    <row r="42" spans="1:33" ht="14.25" customHeight="1" x14ac:dyDescent="0.45">
      <c r="A42" s="3" t="s">
        <v>48</v>
      </c>
      <c r="B42" s="13"/>
      <c r="C42" s="14"/>
      <c r="D42" s="5">
        <f t="shared" si="18"/>
        <v>0</v>
      </c>
      <c r="E42" s="6" t="str">
        <f t="shared" si="19"/>
        <v/>
      </c>
      <c r="F42" s="13"/>
      <c r="G42" s="14"/>
      <c r="H42" s="5">
        <f t="shared" si="20"/>
        <v>0</v>
      </c>
      <c r="I42" s="6" t="str">
        <f t="shared" si="21"/>
        <v/>
      </c>
      <c r="J42" s="13"/>
      <c r="K42" s="14"/>
      <c r="L42" s="5">
        <f t="shared" si="22"/>
        <v>0</v>
      </c>
      <c r="M42" s="6" t="str">
        <f t="shared" si="23"/>
        <v/>
      </c>
      <c r="N42" s="13"/>
      <c r="O42" s="14"/>
      <c r="P42" s="5">
        <f t="shared" si="24"/>
        <v>0</v>
      </c>
      <c r="Q42" s="6" t="str">
        <f t="shared" si="25"/>
        <v/>
      </c>
      <c r="R42" s="13"/>
      <c r="S42" s="14"/>
      <c r="T42" s="5">
        <f t="shared" si="26"/>
        <v>0</v>
      </c>
      <c r="U42" s="6" t="str">
        <f t="shared" si="27"/>
        <v/>
      </c>
      <c r="V42" s="13"/>
      <c r="W42" s="14"/>
      <c r="X42" s="5">
        <f t="shared" si="28"/>
        <v>0</v>
      </c>
      <c r="Y42" s="6" t="str">
        <f t="shared" si="29"/>
        <v/>
      </c>
      <c r="Z42" s="15">
        <f>69544</f>
        <v>69544</v>
      </c>
      <c r="AA42" s="16">
        <v>75000</v>
      </c>
      <c r="AB42" s="5">
        <f t="shared" si="30"/>
        <v>-5456</v>
      </c>
      <c r="AC42" s="6">
        <f t="shared" si="31"/>
        <v>0.92725333333333337</v>
      </c>
      <c r="AD42" s="15">
        <f t="shared" si="32"/>
        <v>69544</v>
      </c>
      <c r="AE42" s="16">
        <f t="shared" si="33"/>
        <v>75000</v>
      </c>
      <c r="AF42" s="5">
        <f t="shared" si="34"/>
        <v>-5456</v>
      </c>
      <c r="AG42" s="6">
        <f t="shared" si="35"/>
        <v>0.92725333333333337</v>
      </c>
    </row>
    <row r="43" spans="1:33" ht="14.25" customHeight="1" x14ac:dyDescent="0.45">
      <c r="A43" s="3" t="s">
        <v>49</v>
      </c>
      <c r="B43" s="13"/>
      <c r="C43" s="14"/>
      <c r="D43" s="5">
        <f t="shared" si="18"/>
        <v>0</v>
      </c>
      <c r="E43" s="6" t="str">
        <f t="shared" si="19"/>
        <v/>
      </c>
      <c r="F43" s="13"/>
      <c r="G43" s="14"/>
      <c r="H43" s="5">
        <f t="shared" si="20"/>
        <v>0</v>
      </c>
      <c r="I43" s="6" t="str">
        <f t="shared" si="21"/>
        <v/>
      </c>
      <c r="J43" s="13"/>
      <c r="K43" s="14"/>
      <c r="L43" s="5">
        <f t="shared" si="22"/>
        <v>0</v>
      </c>
      <c r="M43" s="6" t="str">
        <f t="shared" si="23"/>
        <v/>
      </c>
      <c r="N43" s="15">
        <f>78589.69</f>
        <v>78589.69</v>
      </c>
      <c r="O43" s="16">
        <v>80000</v>
      </c>
      <c r="P43" s="5">
        <f t="shared" si="24"/>
        <v>-1410.3099999999977</v>
      </c>
      <c r="Q43" s="6">
        <f t="shared" si="25"/>
        <v>0.98237112500000001</v>
      </c>
      <c r="R43" s="13"/>
      <c r="S43" s="14"/>
      <c r="T43" s="5">
        <f t="shared" si="26"/>
        <v>0</v>
      </c>
      <c r="U43" s="6" t="str">
        <f t="shared" si="27"/>
        <v/>
      </c>
      <c r="V43" s="13"/>
      <c r="W43" s="14"/>
      <c r="X43" s="5">
        <f t="shared" si="28"/>
        <v>0</v>
      </c>
      <c r="Y43" s="6" t="str">
        <f t="shared" si="29"/>
        <v/>
      </c>
      <c r="Z43" s="13"/>
      <c r="AA43" s="14"/>
      <c r="AB43" s="5">
        <f t="shared" si="30"/>
        <v>0</v>
      </c>
      <c r="AC43" s="6" t="str">
        <f t="shared" si="31"/>
        <v/>
      </c>
      <c r="AD43" s="15">
        <f t="shared" si="32"/>
        <v>78589.69</v>
      </c>
      <c r="AE43" s="16">
        <f t="shared" si="33"/>
        <v>80000</v>
      </c>
      <c r="AF43" s="5">
        <f t="shared" si="34"/>
        <v>-1410.3099999999977</v>
      </c>
      <c r="AG43" s="6">
        <f t="shared" si="35"/>
        <v>0.98237112500000001</v>
      </c>
    </row>
    <row r="44" spans="1:33" ht="14.25" customHeight="1" x14ac:dyDescent="0.45">
      <c r="A44" s="3" t="s">
        <v>50</v>
      </c>
      <c r="B44" s="13"/>
      <c r="C44" s="14"/>
      <c r="D44" s="5">
        <f t="shared" si="18"/>
        <v>0</v>
      </c>
      <c r="E44" s="6" t="str">
        <f t="shared" si="19"/>
        <v/>
      </c>
      <c r="F44" s="13"/>
      <c r="G44" s="14"/>
      <c r="H44" s="5">
        <f t="shared" si="20"/>
        <v>0</v>
      </c>
      <c r="I44" s="6" t="str">
        <f t="shared" si="21"/>
        <v/>
      </c>
      <c r="J44" s="13"/>
      <c r="K44" s="14"/>
      <c r="L44" s="5">
        <f t="shared" si="22"/>
        <v>0</v>
      </c>
      <c r="M44" s="6" t="str">
        <f t="shared" si="23"/>
        <v/>
      </c>
      <c r="N44" s="13"/>
      <c r="O44" s="14"/>
      <c r="P44" s="5">
        <f t="shared" si="24"/>
        <v>0</v>
      </c>
      <c r="Q44" s="6" t="str">
        <f t="shared" si="25"/>
        <v/>
      </c>
      <c r="R44" s="13"/>
      <c r="S44" s="14"/>
      <c r="T44" s="5">
        <f t="shared" si="26"/>
        <v>0</v>
      </c>
      <c r="U44" s="6" t="str">
        <f t="shared" si="27"/>
        <v/>
      </c>
      <c r="V44" s="13"/>
      <c r="W44" s="14"/>
      <c r="X44" s="5">
        <f t="shared" si="28"/>
        <v>0</v>
      </c>
      <c r="Y44" s="6" t="str">
        <f t="shared" si="29"/>
        <v/>
      </c>
      <c r="Z44" s="15">
        <f>13062.44</f>
        <v>13062.44</v>
      </c>
      <c r="AA44" s="16">
        <v>14000</v>
      </c>
      <c r="AB44" s="5">
        <f t="shared" si="30"/>
        <v>-937.55999999999949</v>
      </c>
      <c r="AC44" s="6">
        <f t="shared" si="31"/>
        <v>0.93303142857142862</v>
      </c>
      <c r="AD44" s="15">
        <f t="shared" si="32"/>
        <v>13062.44</v>
      </c>
      <c r="AE44" s="16">
        <f t="shared" si="33"/>
        <v>14000</v>
      </c>
      <c r="AF44" s="5">
        <f t="shared" si="34"/>
        <v>-937.55999999999949</v>
      </c>
      <c r="AG44" s="6">
        <f t="shared" si="35"/>
        <v>0.93303142857142862</v>
      </c>
    </row>
    <row r="45" spans="1:33" ht="14.25" customHeight="1" x14ac:dyDescent="0.45">
      <c r="A45" s="3" t="s">
        <v>51</v>
      </c>
      <c r="B45" s="13"/>
      <c r="C45" s="14"/>
      <c r="D45" s="5">
        <f t="shared" si="18"/>
        <v>0</v>
      </c>
      <c r="E45" s="6" t="str">
        <f t="shared" si="19"/>
        <v/>
      </c>
      <c r="F45" s="13"/>
      <c r="G45" s="14"/>
      <c r="H45" s="5">
        <f t="shared" si="20"/>
        <v>0</v>
      </c>
      <c r="I45" s="6" t="str">
        <f t="shared" si="21"/>
        <v/>
      </c>
      <c r="J45" s="13"/>
      <c r="K45" s="14"/>
      <c r="L45" s="5">
        <f t="shared" si="22"/>
        <v>0</v>
      </c>
      <c r="M45" s="6" t="str">
        <f t="shared" si="23"/>
        <v/>
      </c>
      <c r="N45" s="13"/>
      <c r="O45" s="14"/>
      <c r="P45" s="5">
        <f t="shared" si="24"/>
        <v>0</v>
      </c>
      <c r="Q45" s="6" t="str">
        <f t="shared" si="25"/>
        <v/>
      </c>
      <c r="R45" s="13"/>
      <c r="S45" s="14"/>
      <c r="T45" s="5">
        <f t="shared" si="26"/>
        <v>0</v>
      </c>
      <c r="U45" s="6" t="str">
        <f t="shared" si="27"/>
        <v/>
      </c>
      <c r="V45" s="13"/>
      <c r="W45" s="14"/>
      <c r="X45" s="5">
        <f t="shared" si="28"/>
        <v>0</v>
      </c>
      <c r="Y45" s="6" t="str">
        <f t="shared" si="29"/>
        <v/>
      </c>
      <c r="Z45" s="15">
        <f>78718.82</f>
        <v>78718.820000000007</v>
      </c>
      <c r="AA45" s="16">
        <v>80000</v>
      </c>
      <c r="AB45" s="5">
        <f t="shared" si="30"/>
        <v>-1281.179999999993</v>
      </c>
      <c r="AC45" s="6">
        <f t="shared" si="31"/>
        <v>0.98398525000000003</v>
      </c>
      <c r="AD45" s="15">
        <f t="shared" si="32"/>
        <v>78718.820000000007</v>
      </c>
      <c r="AE45" s="16">
        <f t="shared" si="33"/>
        <v>80000</v>
      </c>
      <c r="AF45" s="5">
        <f t="shared" si="34"/>
        <v>-1281.179999999993</v>
      </c>
      <c r="AG45" s="6">
        <f t="shared" si="35"/>
        <v>0.98398525000000003</v>
      </c>
    </row>
    <row r="46" spans="1:33" ht="14.25" customHeight="1" x14ac:dyDescent="0.45">
      <c r="A46" s="3" t="s">
        <v>52</v>
      </c>
      <c r="B46" s="15">
        <f>91140.32</f>
        <v>91140.32</v>
      </c>
      <c r="C46" s="16">
        <v>98000</v>
      </c>
      <c r="D46" s="5">
        <f t="shared" si="18"/>
        <v>-6859.679999999993</v>
      </c>
      <c r="E46" s="6">
        <f t="shared" si="19"/>
        <v>0.93000326530612254</v>
      </c>
      <c r="F46" s="13"/>
      <c r="G46" s="14"/>
      <c r="H46" s="5">
        <f t="shared" si="20"/>
        <v>0</v>
      </c>
      <c r="I46" s="6" t="str">
        <f t="shared" si="21"/>
        <v/>
      </c>
      <c r="J46" s="13"/>
      <c r="K46" s="14"/>
      <c r="L46" s="5">
        <f t="shared" si="22"/>
        <v>0</v>
      </c>
      <c r="M46" s="6" t="str">
        <f t="shared" si="23"/>
        <v/>
      </c>
      <c r="N46" s="13"/>
      <c r="O46" s="14"/>
      <c r="P46" s="5">
        <f t="shared" si="24"/>
        <v>0</v>
      </c>
      <c r="Q46" s="6" t="str">
        <f t="shared" si="25"/>
        <v/>
      </c>
      <c r="R46" s="13"/>
      <c r="S46" s="14"/>
      <c r="T46" s="5">
        <f t="shared" si="26"/>
        <v>0</v>
      </c>
      <c r="U46" s="6" t="str">
        <f t="shared" si="27"/>
        <v/>
      </c>
      <c r="V46" s="13"/>
      <c r="W46" s="16"/>
      <c r="X46" s="5">
        <f t="shared" si="28"/>
        <v>0</v>
      </c>
      <c r="Y46" s="6" t="str">
        <f t="shared" si="29"/>
        <v/>
      </c>
      <c r="Z46" s="13"/>
      <c r="AA46" s="14"/>
      <c r="AB46" s="5">
        <f t="shared" si="30"/>
        <v>0</v>
      </c>
      <c r="AC46" s="6" t="str">
        <f t="shared" si="31"/>
        <v/>
      </c>
      <c r="AD46" s="15">
        <f t="shared" si="32"/>
        <v>91140.32</v>
      </c>
      <c r="AE46" s="16">
        <f t="shared" si="33"/>
        <v>98000</v>
      </c>
      <c r="AF46" s="5">
        <f t="shared" si="34"/>
        <v>-6859.679999999993</v>
      </c>
      <c r="AG46" s="6">
        <f t="shared" si="35"/>
        <v>0.93000326530612254</v>
      </c>
    </row>
    <row r="47" spans="1:33" ht="14.25" customHeight="1" x14ac:dyDescent="0.45">
      <c r="A47" s="3" t="s">
        <v>53</v>
      </c>
      <c r="B47" s="13"/>
      <c r="C47" s="14">
        <v>20000</v>
      </c>
      <c r="D47" s="5">
        <f t="shared" si="18"/>
        <v>-20000</v>
      </c>
      <c r="E47" s="6">
        <f t="shared" si="19"/>
        <v>0</v>
      </c>
      <c r="F47" s="13"/>
      <c r="G47" s="14"/>
      <c r="H47" s="5">
        <f t="shared" si="20"/>
        <v>0</v>
      </c>
      <c r="I47" s="6" t="str">
        <f t="shared" si="21"/>
        <v/>
      </c>
      <c r="J47" s="13"/>
      <c r="K47" s="14"/>
      <c r="L47" s="5">
        <f t="shared" si="22"/>
        <v>0</v>
      </c>
      <c r="M47" s="6" t="str">
        <f t="shared" si="23"/>
        <v/>
      </c>
      <c r="N47" s="13"/>
      <c r="O47" s="14"/>
      <c r="P47" s="5">
        <f t="shared" si="24"/>
        <v>0</v>
      </c>
      <c r="Q47" s="6" t="str">
        <f t="shared" si="25"/>
        <v/>
      </c>
      <c r="R47" s="15">
        <f>27450</f>
        <v>27450</v>
      </c>
      <c r="S47" s="16">
        <v>20000</v>
      </c>
      <c r="T47" s="5">
        <f t="shared" si="26"/>
        <v>7450</v>
      </c>
      <c r="U47" s="6">
        <f t="shared" si="27"/>
        <v>1.3725000000000001</v>
      </c>
      <c r="V47" s="13"/>
      <c r="W47" s="14"/>
      <c r="X47" s="5">
        <f t="shared" si="28"/>
        <v>0</v>
      </c>
      <c r="Y47" s="6" t="str">
        <f t="shared" si="29"/>
        <v/>
      </c>
      <c r="Z47" s="13"/>
      <c r="AA47" s="14"/>
      <c r="AB47" s="5">
        <f t="shared" si="30"/>
        <v>0</v>
      </c>
      <c r="AC47" s="6" t="str">
        <f t="shared" si="31"/>
        <v/>
      </c>
      <c r="AD47" s="15">
        <f t="shared" si="32"/>
        <v>27450</v>
      </c>
      <c r="AE47" s="16">
        <f t="shared" si="33"/>
        <v>40000</v>
      </c>
      <c r="AF47" s="5">
        <f t="shared" si="34"/>
        <v>-12550</v>
      </c>
      <c r="AG47" s="6">
        <f t="shared" si="35"/>
        <v>0.68625000000000003</v>
      </c>
    </row>
    <row r="48" spans="1:33" ht="14.25" customHeight="1" x14ac:dyDescent="0.45">
      <c r="A48" s="3" t="s">
        <v>54</v>
      </c>
      <c r="B48" s="15">
        <f>100000</f>
        <v>100000</v>
      </c>
      <c r="C48" s="14">
        <v>20000</v>
      </c>
      <c r="D48" s="5">
        <f t="shared" si="18"/>
        <v>80000</v>
      </c>
      <c r="E48" s="6">
        <f t="shared" si="19"/>
        <v>5</v>
      </c>
      <c r="F48" s="13"/>
      <c r="G48" s="14"/>
      <c r="H48" s="5">
        <f t="shared" si="20"/>
        <v>0</v>
      </c>
      <c r="I48" s="6" t="str">
        <f t="shared" si="21"/>
        <v/>
      </c>
      <c r="J48" s="13"/>
      <c r="K48" s="14"/>
      <c r="L48" s="5">
        <f t="shared" si="22"/>
        <v>0</v>
      </c>
      <c r="M48" s="6" t="str">
        <f t="shared" si="23"/>
        <v/>
      </c>
      <c r="N48" s="13"/>
      <c r="O48" s="14"/>
      <c r="P48" s="5">
        <f t="shared" si="24"/>
        <v>0</v>
      </c>
      <c r="Q48" s="6" t="str">
        <f t="shared" si="25"/>
        <v/>
      </c>
      <c r="R48" s="13"/>
      <c r="S48" s="14"/>
      <c r="T48" s="5">
        <f t="shared" si="26"/>
        <v>0</v>
      </c>
      <c r="U48" s="6" t="str">
        <f t="shared" si="27"/>
        <v/>
      </c>
      <c r="V48" s="13"/>
      <c r="W48" s="14"/>
      <c r="X48" s="5">
        <f t="shared" si="28"/>
        <v>0</v>
      </c>
      <c r="Y48" s="6" t="str">
        <f t="shared" si="29"/>
        <v/>
      </c>
      <c r="Z48" s="13"/>
      <c r="AA48" s="14"/>
      <c r="AB48" s="5">
        <f t="shared" si="30"/>
        <v>0</v>
      </c>
      <c r="AC48" s="6" t="str">
        <f t="shared" si="31"/>
        <v/>
      </c>
      <c r="AD48" s="15">
        <f t="shared" si="32"/>
        <v>100000</v>
      </c>
      <c r="AE48" s="16">
        <f t="shared" si="33"/>
        <v>20000</v>
      </c>
      <c r="AF48" s="5">
        <f t="shared" si="34"/>
        <v>80000</v>
      </c>
      <c r="AG48" s="6">
        <f t="shared" si="35"/>
        <v>5</v>
      </c>
    </row>
    <row r="49" spans="1:33" ht="14.25" customHeight="1" x14ac:dyDescent="0.45">
      <c r="A49" s="3" t="s">
        <v>55</v>
      </c>
      <c r="B49" s="15">
        <f>9215.12</f>
        <v>9215.1200000000008</v>
      </c>
      <c r="C49" s="16">
        <v>7500</v>
      </c>
      <c r="D49" s="5">
        <f t="shared" si="18"/>
        <v>1715.1200000000008</v>
      </c>
      <c r="E49" s="6">
        <f t="shared" si="19"/>
        <v>1.2286826666666668</v>
      </c>
      <c r="F49" s="13"/>
      <c r="G49" s="14"/>
      <c r="H49" s="5">
        <f t="shared" si="20"/>
        <v>0</v>
      </c>
      <c r="I49" s="6" t="str">
        <f t="shared" si="21"/>
        <v/>
      </c>
      <c r="J49" s="13"/>
      <c r="K49" s="14"/>
      <c r="L49" s="5">
        <f t="shared" si="22"/>
        <v>0</v>
      </c>
      <c r="M49" s="6" t="str">
        <f t="shared" si="23"/>
        <v/>
      </c>
      <c r="N49" s="13"/>
      <c r="O49" s="14"/>
      <c r="P49" s="5">
        <f t="shared" si="24"/>
        <v>0</v>
      </c>
      <c r="Q49" s="6" t="str">
        <f t="shared" si="25"/>
        <v/>
      </c>
      <c r="R49" s="13"/>
      <c r="S49" s="14"/>
      <c r="T49" s="5">
        <f t="shared" si="26"/>
        <v>0</v>
      </c>
      <c r="U49" s="6" t="str">
        <f t="shared" si="27"/>
        <v/>
      </c>
      <c r="V49" s="13"/>
      <c r="W49" s="14"/>
      <c r="X49" s="5">
        <f t="shared" si="28"/>
        <v>0</v>
      </c>
      <c r="Y49" s="6" t="str">
        <f t="shared" si="29"/>
        <v/>
      </c>
      <c r="Z49" s="13"/>
      <c r="AA49" s="14"/>
      <c r="AB49" s="5">
        <f t="shared" si="30"/>
        <v>0</v>
      </c>
      <c r="AC49" s="6" t="str">
        <f t="shared" si="31"/>
        <v/>
      </c>
      <c r="AD49" s="15">
        <f t="shared" si="32"/>
        <v>9215.1200000000008</v>
      </c>
      <c r="AE49" s="16">
        <f t="shared" si="33"/>
        <v>7500</v>
      </c>
      <c r="AF49" s="5">
        <f t="shared" si="34"/>
        <v>1715.1200000000008</v>
      </c>
      <c r="AG49" s="6">
        <f t="shared" si="35"/>
        <v>1.2286826666666668</v>
      </c>
    </row>
    <row r="50" spans="1:33" ht="14.25" customHeight="1" x14ac:dyDescent="0.45">
      <c r="A50" s="3" t="s">
        <v>56</v>
      </c>
      <c r="B50" s="13"/>
      <c r="C50" s="14"/>
      <c r="D50" s="5">
        <f t="shared" si="18"/>
        <v>0</v>
      </c>
      <c r="E50" s="6" t="str">
        <f t="shared" si="19"/>
        <v/>
      </c>
      <c r="F50" s="13"/>
      <c r="G50" s="14"/>
      <c r="H50" s="5">
        <f t="shared" si="20"/>
        <v>0</v>
      </c>
      <c r="I50" s="6" t="str">
        <f t="shared" si="21"/>
        <v/>
      </c>
      <c r="J50" s="13"/>
      <c r="K50" s="14"/>
      <c r="L50" s="5">
        <f t="shared" si="22"/>
        <v>0</v>
      </c>
      <c r="M50" s="6" t="str">
        <f t="shared" si="23"/>
        <v/>
      </c>
      <c r="N50" s="13"/>
      <c r="O50" s="16"/>
      <c r="P50" s="5">
        <f t="shared" si="24"/>
        <v>0</v>
      </c>
      <c r="Q50" s="6" t="str">
        <f t="shared" si="25"/>
        <v/>
      </c>
      <c r="R50" s="13"/>
      <c r="S50" s="14"/>
      <c r="T50" s="5">
        <f t="shared" si="26"/>
        <v>0</v>
      </c>
      <c r="U50" s="6" t="str">
        <f t="shared" si="27"/>
        <v/>
      </c>
      <c r="V50" s="15">
        <f>20.38</f>
        <v>20.38</v>
      </c>
      <c r="W50" s="14"/>
      <c r="X50" s="5">
        <f t="shared" si="28"/>
        <v>20.38</v>
      </c>
      <c r="Y50" s="6" t="str">
        <f t="shared" si="29"/>
        <v/>
      </c>
      <c r="Z50" s="15">
        <f>24394.1</f>
        <v>24394.1</v>
      </c>
      <c r="AA50" s="16">
        <v>1000</v>
      </c>
      <c r="AB50" s="5">
        <f t="shared" si="30"/>
        <v>23394.1</v>
      </c>
      <c r="AC50" s="6">
        <f t="shared" si="31"/>
        <v>24.394099999999998</v>
      </c>
      <c r="AD50" s="15">
        <f t="shared" si="32"/>
        <v>24414.48</v>
      </c>
      <c r="AE50" s="16">
        <f t="shared" si="33"/>
        <v>1000</v>
      </c>
      <c r="AF50" s="5">
        <f t="shared" si="34"/>
        <v>23414.48</v>
      </c>
      <c r="AG50" s="6">
        <f t="shared" si="35"/>
        <v>24.414480000000001</v>
      </c>
    </row>
    <row r="51" spans="1:33" ht="14.25" customHeight="1" x14ac:dyDescent="0.45">
      <c r="A51" s="3" t="s">
        <v>57</v>
      </c>
      <c r="B51" s="15">
        <f>1560</f>
        <v>1560</v>
      </c>
      <c r="C51" s="14">
        <v>1750</v>
      </c>
      <c r="D51" s="5">
        <f t="shared" si="18"/>
        <v>-190</v>
      </c>
      <c r="E51" s="6">
        <f t="shared" si="19"/>
        <v>0.89142857142857146</v>
      </c>
      <c r="F51" s="13"/>
      <c r="G51" s="14"/>
      <c r="H51" s="5">
        <f t="shared" si="20"/>
        <v>0</v>
      </c>
      <c r="I51" s="6" t="str">
        <f t="shared" si="21"/>
        <v/>
      </c>
      <c r="J51" s="13"/>
      <c r="K51" s="16"/>
      <c r="L51" s="5">
        <f t="shared" si="22"/>
        <v>0</v>
      </c>
      <c r="M51" s="6" t="str">
        <f t="shared" si="23"/>
        <v/>
      </c>
      <c r="N51" s="13"/>
      <c r="O51" s="14"/>
      <c r="P51" s="5">
        <f t="shared" si="24"/>
        <v>0</v>
      </c>
      <c r="Q51" s="6" t="str">
        <f t="shared" si="25"/>
        <v/>
      </c>
      <c r="R51" s="15">
        <f>1560</f>
        <v>1560</v>
      </c>
      <c r="S51" s="14">
        <v>1500</v>
      </c>
      <c r="T51" s="5">
        <f t="shared" si="26"/>
        <v>60</v>
      </c>
      <c r="U51" s="6">
        <f t="shared" si="27"/>
        <v>1.04</v>
      </c>
      <c r="V51" s="15">
        <f>7518.5</f>
        <v>7518.5</v>
      </c>
      <c r="W51" s="16">
        <v>1500</v>
      </c>
      <c r="X51" s="5">
        <f t="shared" si="28"/>
        <v>6018.5</v>
      </c>
      <c r="Y51" s="6">
        <f t="shared" si="29"/>
        <v>5.0123333333333333</v>
      </c>
      <c r="Z51" s="15">
        <v>35459.15</v>
      </c>
      <c r="AA51" s="16">
        <v>15000</v>
      </c>
      <c r="AB51" s="5">
        <f t="shared" si="30"/>
        <v>20459.150000000001</v>
      </c>
      <c r="AC51" s="6">
        <f t="shared" si="31"/>
        <v>2.3639433333333333</v>
      </c>
      <c r="AD51" s="15">
        <f t="shared" si="32"/>
        <v>46097.65</v>
      </c>
      <c r="AE51" s="16">
        <f t="shared" si="33"/>
        <v>19750</v>
      </c>
      <c r="AF51" s="5">
        <f t="shared" si="34"/>
        <v>26347.65</v>
      </c>
      <c r="AG51" s="6">
        <f t="shared" si="35"/>
        <v>2.3340582278481015</v>
      </c>
    </row>
    <row r="52" spans="1:33" ht="14.25" customHeight="1" x14ac:dyDescent="0.45">
      <c r="A52" s="3" t="s">
        <v>58</v>
      </c>
      <c r="B52" s="13"/>
      <c r="C52" s="14"/>
      <c r="D52" s="5">
        <f t="shared" si="18"/>
        <v>0</v>
      </c>
      <c r="E52" s="6" t="str">
        <f t="shared" si="19"/>
        <v/>
      </c>
      <c r="F52" s="13"/>
      <c r="G52" s="14"/>
      <c r="H52" s="5">
        <f t="shared" si="20"/>
        <v>0</v>
      </c>
      <c r="I52" s="6" t="str">
        <f t="shared" si="21"/>
        <v/>
      </c>
      <c r="J52" s="13"/>
      <c r="K52" s="14"/>
      <c r="L52" s="5">
        <f t="shared" si="22"/>
        <v>0</v>
      </c>
      <c r="M52" s="6" t="str">
        <f t="shared" si="23"/>
        <v/>
      </c>
      <c r="N52" s="13"/>
      <c r="O52" s="14"/>
      <c r="P52" s="5">
        <f t="shared" si="24"/>
        <v>0</v>
      </c>
      <c r="Q52" s="6" t="str">
        <f t="shared" si="25"/>
        <v/>
      </c>
      <c r="R52" s="15">
        <f>126</f>
        <v>126</v>
      </c>
      <c r="S52" s="14">
        <v>200</v>
      </c>
      <c r="T52" s="5">
        <f t="shared" si="26"/>
        <v>-74</v>
      </c>
      <c r="U52" s="6">
        <f t="shared" si="27"/>
        <v>0.63</v>
      </c>
      <c r="V52" s="13"/>
      <c r="W52" s="16"/>
      <c r="X52" s="5">
        <f t="shared" si="28"/>
        <v>0</v>
      </c>
      <c r="Y52" s="6" t="str">
        <f t="shared" si="29"/>
        <v/>
      </c>
      <c r="Z52" s="13"/>
      <c r="AA52" s="14"/>
      <c r="AB52" s="5">
        <f t="shared" si="30"/>
        <v>0</v>
      </c>
      <c r="AC52" s="6" t="str">
        <f t="shared" si="31"/>
        <v/>
      </c>
      <c r="AD52" s="15">
        <f t="shared" si="32"/>
        <v>126</v>
      </c>
      <c r="AE52" s="16">
        <f t="shared" si="33"/>
        <v>200</v>
      </c>
      <c r="AF52" s="5">
        <f t="shared" si="34"/>
        <v>-74</v>
      </c>
      <c r="AG52" s="6">
        <f t="shared" si="35"/>
        <v>0.63</v>
      </c>
    </row>
    <row r="53" spans="1:33" ht="14.25" customHeight="1" x14ac:dyDescent="0.45">
      <c r="A53" s="3" t="s">
        <v>59</v>
      </c>
      <c r="B53" s="13"/>
      <c r="C53" s="16"/>
      <c r="D53" s="5">
        <f t="shared" si="18"/>
        <v>0</v>
      </c>
      <c r="E53" s="6" t="str">
        <f t="shared" si="19"/>
        <v/>
      </c>
      <c r="F53" s="15">
        <f>163.5</f>
        <v>163.5</v>
      </c>
      <c r="G53" s="16">
        <v>500</v>
      </c>
      <c r="H53" s="5">
        <f t="shared" si="20"/>
        <v>-336.5</v>
      </c>
      <c r="I53" s="6">
        <f t="shared" si="21"/>
        <v>0.32700000000000001</v>
      </c>
      <c r="J53" s="13"/>
      <c r="K53" s="16">
        <v>750</v>
      </c>
      <c r="L53" s="5">
        <f t="shared" si="22"/>
        <v>-750</v>
      </c>
      <c r="M53" s="6">
        <f t="shared" si="23"/>
        <v>0</v>
      </c>
      <c r="N53" s="15">
        <f>20468.29</f>
        <v>20468.29</v>
      </c>
      <c r="O53" s="16">
        <v>20000</v>
      </c>
      <c r="P53" s="5">
        <f t="shared" si="24"/>
        <v>468.29000000000087</v>
      </c>
      <c r="Q53" s="6">
        <f t="shared" si="25"/>
        <v>1.0234145000000001</v>
      </c>
      <c r="R53" s="15">
        <f>5579.72</f>
        <v>5579.72</v>
      </c>
      <c r="S53" s="16">
        <v>5000</v>
      </c>
      <c r="T53" s="5">
        <f t="shared" si="26"/>
        <v>579.72000000000025</v>
      </c>
      <c r="U53" s="6">
        <f t="shared" si="27"/>
        <v>1.115944</v>
      </c>
      <c r="V53" s="15">
        <f>35144.7</f>
        <v>35144.699999999997</v>
      </c>
      <c r="W53" s="16">
        <v>35000</v>
      </c>
      <c r="X53" s="5">
        <f t="shared" si="28"/>
        <v>144.69999999999709</v>
      </c>
      <c r="Y53" s="6">
        <f t="shared" si="29"/>
        <v>1.0041342857142856</v>
      </c>
      <c r="Z53" s="15">
        <f>2144.27</f>
        <v>2144.27</v>
      </c>
      <c r="AA53" s="16">
        <v>2500</v>
      </c>
      <c r="AB53" s="5">
        <f t="shared" si="30"/>
        <v>-355.73</v>
      </c>
      <c r="AC53" s="6">
        <f t="shared" si="31"/>
        <v>0.85770800000000003</v>
      </c>
      <c r="AD53" s="15">
        <f t="shared" si="32"/>
        <v>63500.479999999996</v>
      </c>
      <c r="AE53" s="16">
        <f t="shared" si="33"/>
        <v>63750</v>
      </c>
      <c r="AF53" s="5">
        <f t="shared" si="34"/>
        <v>-249.52000000000407</v>
      </c>
      <c r="AG53" s="6">
        <f t="shared" si="35"/>
        <v>0.99608596078431366</v>
      </c>
    </row>
    <row r="54" spans="1:33" ht="14.25" customHeight="1" x14ac:dyDescent="0.45">
      <c r="A54" s="3" t="s">
        <v>60</v>
      </c>
      <c r="B54" s="13"/>
      <c r="C54" s="14"/>
      <c r="D54" s="5">
        <f t="shared" si="18"/>
        <v>0</v>
      </c>
      <c r="E54" s="6" t="str">
        <f t="shared" si="19"/>
        <v/>
      </c>
      <c r="F54" s="13"/>
      <c r="G54" s="14"/>
      <c r="H54" s="5">
        <f t="shared" si="20"/>
        <v>0</v>
      </c>
      <c r="I54" s="6" t="str">
        <f t="shared" si="21"/>
        <v/>
      </c>
      <c r="J54" s="13"/>
      <c r="K54" s="14"/>
      <c r="L54" s="5">
        <f t="shared" si="22"/>
        <v>0</v>
      </c>
      <c r="M54" s="6" t="str">
        <f t="shared" si="23"/>
        <v/>
      </c>
      <c r="N54" s="15">
        <f>69368</f>
        <v>69368</v>
      </c>
      <c r="O54" s="14">
        <v>120000</v>
      </c>
      <c r="P54" s="5">
        <f t="shared" si="24"/>
        <v>-50632</v>
      </c>
      <c r="Q54" s="6">
        <f t="shared" si="25"/>
        <v>0.57806666666666662</v>
      </c>
      <c r="R54" s="13"/>
      <c r="S54" s="14"/>
      <c r="T54" s="5">
        <f t="shared" si="26"/>
        <v>0</v>
      </c>
      <c r="U54" s="6" t="str">
        <f t="shared" si="27"/>
        <v/>
      </c>
      <c r="V54" s="13"/>
      <c r="W54" s="14"/>
      <c r="X54" s="5">
        <f t="shared" si="28"/>
        <v>0</v>
      </c>
      <c r="Y54" s="6" t="str">
        <f t="shared" si="29"/>
        <v/>
      </c>
      <c r="Z54" s="13"/>
      <c r="AA54" s="14"/>
      <c r="AB54" s="5">
        <f t="shared" si="30"/>
        <v>0</v>
      </c>
      <c r="AC54" s="6" t="str">
        <f t="shared" si="31"/>
        <v/>
      </c>
      <c r="AD54" s="15">
        <f t="shared" si="32"/>
        <v>69368</v>
      </c>
      <c r="AE54" s="16">
        <f t="shared" si="33"/>
        <v>120000</v>
      </c>
      <c r="AF54" s="5">
        <f t="shared" si="34"/>
        <v>-50632</v>
      </c>
      <c r="AG54" s="6">
        <f t="shared" si="35"/>
        <v>0.57806666666666662</v>
      </c>
    </row>
    <row r="55" spans="1:33" ht="14.25" customHeight="1" x14ac:dyDescent="0.45">
      <c r="A55" s="3" t="s">
        <v>61</v>
      </c>
      <c r="B55" s="13"/>
      <c r="C55" s="14"/>
      <c r="D55" s="5">
        <f t="shared" si="18"/>
        <v>0</v>
      </c>
      <c r="E55" s="6" t="str">
        <f t="shared" si="19"/>
        <v/>
      </c>
      <c r="F55" s="13"/>
      <c r="G55" s="14"/>
      <c r="H55" s="5">
        <f t="shared" si="20"/>
        <v>0</v>
      </c>
      <c r="I55" s="6" t="str">
        <f t="shared" si="21"/>
        <v/>
      </c>
      <c r="J55" s="13"/>
      <c r="K55" s="14"/>
      <c r="L55" s="5">
        <f t="shared" si="22"/>
        <v>0</v>
      </c>
      <c r="M55" s="6" t="str">
        <f t="shared" si="23"/>
        <v/>
      </c>
      <c r="N55" s="13"/>
      <c r="O55" s="14"/>
      <c r="P55" s="5">
        <f t="shared" si="24"/>
        <v>0</v>
      </c>
      <c r="Q55" s="6" t="str">
        <f t="shared" si="25"/>
        <v/>
      </c>
      <c r="R55" s="13"/>
      <c r="S55" s="14"/>
      <c r="T55" s="5">
        <f t="shared" si="26"/>
        <v>0</v>
      </c>
      <c r="U55" s="6" t="str">
        <f t="shared" si="27"/>
        <v/>
      </c>
      <c r="V55" s="15">
        <f>69534.07</f>
        <v>69534.070000000007</v>
      </c>
      <c r="W55" s="16">
        <v>60000</v>
      </c>
      <c r="X55" s="5">
        <f t="shared" si="28"/>
        <v>9534.070000000007</v>
      </c>
      <c r="Y55" s="6">
        <f t="shared" si="29"/>
        <v>1.1589011666666669</v>
      </c>
      <c r="Z55" s="13"/>
      <c r="AA55" s="14"/>
      <c r="AB55" s="5">
        <f t="shared" si="30"/>
        <v>0</v>
      </c>
      <c r="AC55" s="6" t="str">
        <f t="shared" si="31"/>
        <v/>
      </c>
      <c r="AD55" s="15">
        <f t="shared" si="32"/>
        <v>69534.070000000007</v>
      </c>
      <c r="AE55" s="16">
        <f t="shared" si="33"/>
        <v>60000</v>
      </c>
      <c r="AF55" s="5">
        <f t="shared" si="34"/>
        <v>9534.070000000007</v>
      </c>
      <c r="AG55" s="6">
        <f t="shared" si="35"/>
        <v>1.1589011666666669</v>
      </c>
    </row>
    <row r="56" spans="1:33" ht="14.25" customHeight="1" x14ac:dyDescent="0.45">
      <c r="A56" s="3" t="s">
        <v>62</v>
      </c>
      <c r="B56" s="13"/>
      <c r="C56" s="14"/>
      <c r="D56" s="5">
        <f t="shared" si="18"/>
        <v>0</v>
      </c>
      <c r="E56" s="6" t="str">
        <f t="shared" si="19"/>
        <v/>
      </c>
      <c r="F56" s="13"/>
      <c r="G56" s="14"/>
      <c r="H56" s="5">
        <f t="shared" si="20"/>
        <v>0</v>
      </c>
      <c r="I56" s="6" t="str">
        <f t="shared" si="21"/>
        <v/>
      </c>
      <c r="J56" s="13"/>
      <c r="K56" s="14"/>
      <c r="L56" s="5">
        <f t="shared" si="22"/>
        <v>0</v>
      </c>
      <c r="M56" s="6" t="str">
        <f t="shared" si="23"/>
        <v/>
      </c>
      <c r="N56" s="13"/>
      <c r="O56" s="14"/>
      <c r="P56" s="5">
        <f t="shared" si="24"/>
        <v>0</v>
      </c>
      <c r="Q56" s="6" t="str">
        <f t="shared" si="25"/>
        <v/>
      </c>
      <c r="R56" s="13"/>
      <c r="S56" s="14"/>
      <c r="T56" s="5">
        <f t="shared" si="26"/>
        <v>0</v>
      </c>
      <c r="U56" s="6" t="str">
        <f t="shared" si="27"/>
        <v/>
      </c>
      <c r="V56" s="15">
        <f>98473.04</f>
        <v>98473.04</v>
      </c>
      <c r="W56" s="16">
        <v>90000</v>
      </c>
      <c r="X56" s="5">
        <f t="shared" si="28"/>
        <v>8473.0399999999936</v>
      </c>
      <c r="Y56" s="6">
        <f t="shared" si="29"/>
        <v>1.0941448888888887</v>
      </c>
      <c r="Z56" s="13"/>
      <c r="AA56" s="14"/>
      <c r="AB56" s="5">
        <f t="shared" si="30"/>
        <v>0</v>
      </c>
      <c r="AC56" s="6" t="str">
        <f t="shared" si="31"/>
        <v/>
      </c>
      <c r="AD56" s="15">
        <f t="shared" si="32"/>
        <v>98473.04</v>
      </c>
      <c r="AE56" s="16">
        <f t="shared" si="33"/>
        <v>90000</v>
      </c>
      <c r="AF56" s="5">
        <f t="shared" si="34"/>
        <v>8473.0399999999936</v>
      </c>
      <c r="AG56" s="6">
        <f t="shared" si="35"/>
        <v>1.0941448888888887</v>
      </c>
    </row>
    <row r="57" spans="1:33" ht="14.25" customHeight="1" x14ac:dyDescent="0.45">
      <c r="A57" s="3" t="s">
        <v>63</v>
      </c>
      <c r="B57" s="13"/>
      <c r="C57" s="14"/>
      <c r="D57" s="5">
        <f t="shared" si="18"/>
        <v>0</v>
      </c>
      <c r="E57" s="6" t="str">
        <f t="shared" si="19"/>
        <v/>
      </c>
      <c r="F57" s="13"/>
      <c r="G57" s="14"/>
      <c r="H57" s="5">
        <f t="shared" si="20"/>
        <v>0</v>
      </c>
      <c r="I57" s="6" t="str">
        <f t="shared" si="21"/>
        <v/>
      </c>
      <c r="J57" s="13"/>
      <c r="K57" s="14"/>
      <c r="L57" s="5">
        <f t="shared" si="22"/>
        <v>0</v>
      </c>
      <c r="M57" s="6" t="str">
        <f t="shared" si="23"/>
        <v/>
      </c>
      <c r="N57" s="13"/>
      <c r="O57" s="14"/>
      <c r="P57" s="5">
        <f t="shared" si="24"/>
        <v>0</v>
      </c>
      <c r="Q57" s="6" t="str">
        <f t="shared" si="25"/>
        <v/>
      </c>
      <c r="R57" s="13"/>
      <c r="S57" s="14"/>
      <c r="T57" s="5">
        <f t="shared" si="26"/>
        <v>0</v>
      </c>
      <c r="U57" s="6" t="str">
        <f t="shared" si="27"/>
        <v/>
      </c>
      <c r="V57" s="15">
        <f>23711.55</f>
        <v>23711.55</v>
      </c>
      <c r="W57" s="16">
        <v>20000</v>
      </c>
      <c r="X57" s="5">
        <f t="shared" si="28"/>
        <v>3711.5499999999993</v>
      </c>
      <c r="Y57" s="6">
        <f t="shared" si="29"/>
        <v>1.1855775</v>
      </c>
      <c r="Z57" s="13"/>
      <c r="AA57" s="14"/>
      <c r="AB57" s="5">
        <f t="shared" si="30"/>
        <v>0</v>
      </c>
      <c r="AC57" s="6" t="str">
        <f t="shared" si="31"/>
        <v/>
      </c>
      <c r="AD57" s="15">
        <f t="shared" si="32"/>
        <v>23711.55</v>
      </c>
      <c r="AE57" s="16">
        <f t="shared" si="33"/>
        <v>20000</v>
      </c>
      <c r="AF57" s="5">
        <f t="shared" si="34"/>
        <v>3711.5499999999993</v>
      </c>
      <c r="AG57" s="6">
        <f t="shared" si="35"/>
        <v>1.1855775</v>
      </c>
    </row>
    <row r="58" spans="1:33" ht="14.25" customHeight="1" x14ac:dyDescent="0.45">
      <c r="A58" s="3" t="s">
        <v>64</v>
      </c>
      <c r="B58" s="13"/>
      <c r="C58" s="14"/>
      <c r="D58" s="5">
        <f t="shared" si="18"/>
        <v>0</v>
      </c>
      <c r="E58" s="6" t="str">
        <f t="shared" si="19"/>
        <v/>
      </c>
      <c r="F58" s="13"/>
      <c r="G58" s="14"/>
      <c r="H58" s="5">
        <f t="shared" si="20"/>
        <v>0</v>
      </c>
      <c r="I58" s="6" t="str">
        <f t="shared" si="21"/>
        <v/>
      </c>
      <c r="J58" s="13"/>
      <c r="K58" s="14"/>
      <c r="L58" s="5">
        <f t="shared" si="22"/>
        <v>0</v>
      </c>
      <c r="M58" s="6" t="str">
        <f t="shared" si="23"/>
        <v/>
      </c>
      <c r="N58" s="13"/>
      <c r="O58" s="14"/>
      <c r="P58" s="5">
        <f t="shared" si="24"/>
        <v>0</v>
      </c>
      <c r="Q58" s="6" t="str">
        <f t="shared" si="25"/>
        <v/>
      </c>
      <c r="R58" s="13"/>
      <c r="S58" s="14"/>
      <c r="T58" s="5">
        <f t="shared" si="26"/>
        <v>0</v>
      </c>
      <c r="U58" s="6" t="str">
        <f t="shared" si="27"/>
        <v/>
      </c>
      <c r="V58" s="15">
        <f>153914.9</f>
        <v>153914.9</v>
      </c>
      <c r="W58" s="16">
        <v>140000</v>
      </c>
      <c r="X58" s="5">
        <f t="shared" si="28"/>
        <v>13914.899999999994</v>
      </c>
      <c r="Y58" s="6">
        <f t="shared" si="29"/>
        <v>1.0993921428571427</v>
      </c>
      <c r="Z58" s="13"/>
      <c r="AA58" s="14"/>
      <c r="AB58" s="5">
        <f t="shared" si="30"/>
        <v>0</v>
      </c>
      <c r="AC58" s="6" t="str">
        <f t="shared" si="31"/>
        <v/>
      </c>
      <c r="AD58" s="15">
        <f t="shared" si="32"/>
        <v>153914.9</v>
      </c>
      <c r="AE58" s="16">
        <f t="shared" si="33"/>
        <v>140000</v>
      </c>
      <c r="AF58" s="5">
        <f t="shared" si="34"/>
        <v>13914.899999999994</v>
      </c>
      <c r="AG58" s="6">
        <f t="shared" si="35"/>
        <v>1.0993921428571427</v>
      </c>
    </row>
    <row r="59" spans="1:33" ht="14.25" customHeight="1" x14ac:dyDescent="0.45">
      <c r="A59" s="3" t="s">
        <v>65</v>
      </c>
      <c r="B59" s="13"/>
      <c r="C59" s="14"/>
      <c r="D59" s="5">
        <f t="shared" si="18"/>
        <v>0</v>
      </c>
      <c r="E59" s="6" t="str">
        <f t="shared" si="19"/>
        <v/>
      </c>
      <c r="F59" s="15">
        <f>116.97</f>
        <v>116.97</v>
      </c>
      <c r="G59" s="14">
        <v>500</v>
      </c>
      <c r="H59" s="5">
        <f t="shared" si="20"/>
        <v>-383.03</v>
      </c>
      <c r="I59" s="6">
        <f t="shared" si="21"/>
        <v>0.23394000000000001</v>
      </c>
      <c r="J59" s="13"/>
      <c r="K59" s="14"/>
      <c r="L59" s="5">
        <f t="shared" si="22"/>
        <v>0</v>
      </c>
      <c r="M59" s="6" t="str">
        <f t="shared" si="23"/>
        <v/>
      </c>
      <c r="N59" s="15">
        <f>720.84</f>
        <v>720.84</v>
      </c>
      <c r="O59" s="16">
        <v>750</v>
      </c>
      <c r="P59" s="5">
        <f t="shared" si="24"/>
        <v>-29.159999999999968</v>
      </c>
      <c r="Q59" s="6">
        <f t="shared" si="25"/>
        <v>0.96112000000000009</v>
      </c>
      <c r="R59" s="15">
        <f>421.99</f>
        <v>421.99</v>
      </c>
      <c r="S59" s="16">
        <v>750</v>
      </c>
      <c r="T59" s="5">
        <f t="shared" si="26"/>
        <v>-328.01</v>
      </c>
      <c r="U59" s="6">
        <f t="shared" si="27"/>
        <v>0.56265333333333334</v>
      </c>
      <c r="V59" s="13"/>
      <c r="W59" s="14"/>
      <c r="X59" s="5">
        <f t="shared" si="28"/>
        <v>0</v>
      </c>
      <c r="Y59" s="6" t="str">
        <f t="shared" si="29"/>
        <v/>
      </c>
      <c r="Z59" s="15">
        <f>7529.02</f>
        <v>7529.02</v>
      </c>
      <c r="AA59" s="16">
        <v>8000</v>
      </c>
      <c r="AB59" s="5">
        <f t="shared" si="30"/>
        <v>-470.97999999999956</v>
      </c>
      <c r="AC59" s="6">
        <f t="shared" si="31"/>
        <v>0.94112750000000001</v>
      </c>
      <c r="AD59" s="15">
        <f t="shared" si="32"/>
        <v>8788.82</v>
      </c>
      <c r="AE59" s="16">
        <f t="shared" si="33"/>
        <v>10000</v>
      </c>
      <c r="AF59" s="5">
        <f t="shared" si="34"/>
        <v>-1211.1800000000003</v>
      </c>
      <c r="AG59" s="6">
        <f t="shared" si="35"/>
        <v>0.87888199999999994</v>
      </c>
    </row>
    <row r="60" spans="1:33" ht="14.25" customHeight="1" x14ac:dyDescent="0.45">
      <c r="A60" s="3" t="s">
        <v>66</v>
      </c>
      <c r="B60" s="13"/>
      <c r="C60" s="14"/>
      <c r="D60" s="5">
        <f t="shared" si="18"/>
        <v>0</v>
      </c>
      <c r="E60" s="6" t="str">
        <f t="shared" si="19"/>
        <v/>
      </c>
      <c r="F60" s="13"/>
      <c r="G60" s="14"/>
      <c r="H60" s="5">
        <f t="shared" si="20"/>
        <v>0</v>
      </c>
      <c r="I60" s="6" t="str">
        <f t="shared" si="21"/>
        <v/>
      </c>
      <c r="J60" s="13"/>
      <c r="K60" s="14"/>
      <c r="L60" s="5">
        <f t="shared" si="22"/>
        <v>0</v>
      </c>
      <c r="M60" s="6" t="str">
        <f t="shared" si="23"/>
        <v/>
      </c>
      <c r="N60" s="13"/>
      <c r="O60" s="14"/>
      <c r="P60" s="5">
        <f t="shared" si="24"/>
        <v>0</v>
      </c>
      <c r="Q60" s="6" t="str">
        <f t="shared" si="25"/>
        <v/>
      </c>
      <c r="R60" s="13"/>
      <c r="S60" s="14"/>
      <c r="T60" s="5">
        <f t="shared" si="26"/>
        <v>0</v>
      </c>
      <c r="U60" s="6" t="str">
        <f t="shared" si="27"/>
        <v/>
      </c>
      <c r="V60" s="13"/>
      <c r="W60" s="14"/>
      <c r="X60" s="5">
        <f t="shared" si="28"/>
        <v>0</v>
      </c>
      <c r="Y60" s="6" t="str">
        <f t="shared" si="29"/>
        <v/>
      </c>
      <c r="Z60" s="15">
        <f>1656.21</f>
        <v>1656.21</v>
      </c>
      <c r="AA60" s="16">
        <v>2000</v>
      </c>
      <c r="AB60" s="5">
        <f t="shared" si="30"/>
        <v>-343.78999999999996</v>
      </c>
      <c r="AC60" s="6">
        <f t="shared" si="31"/>
        <v>0.82810499999999998</v>
      </c>
      <c r="AD60" s="15">
        <f t="shared" si="32"/>
        <v>1656.21</v>
      </c>
      <c r="AE60" s="16">
        <f t="shared" si="33"/>
        <v>2000</v>
      </c>
      <c r="AF60" s="5">
        <f t="shared" si="34"/>
        <v>-343.78999999999996</v>
      </c>
      <c r="AG60" s="6">
        <f t="shared" si="35"/>
        <v>0.82810499999999998</v>
      </c>
    </row>
    <row r="61" spans="1:33" ht="14.25" customHeight="1" x14ac:dyDescent="0.45">
      <c r="A61" s="3" t="s">
        <v>67</v>
      </c>
      <c r="B61" s="13"/>
      <c r="C61" s="14"/>
      <c r="D61" s="5">
        <f t="shared" si="18"/>
        <v>0</v>
      </c>
      <c r="E61" s="6" t="str">
        <f t="shared" si="19"/>
        <v/>
      </c>
      <c r="F61" s="13"/>
      <c r="G61" s="14"/>
      <c r="H61" s="5">
        <f t="shared" si="20"/>
        <v>0</v>
      </c>
      <c r="I61" s="6" t="str">
        <f t="shared" si="21"/>
        <v/>
      </c>
      <c r="J61" s="13"/>
      <c r="K61" s="14"/>
      <c r="L61" s="5">
        <f t="shared" si="22"/>
        <v>0</v>
      </c>
      <c r="M61" s="6" t="str">
        <f t="shared" si="23"/>
        <v/>
      </c>
      <c r="N61" s="13"/>
      <c r="O61" s="14"/>
      <c r="P61" s="5">
        <f t="shared" si="24"/>
        <v>0</v>
      </c>
      <c r="Q61" s="6" t="str">
        <f t="shared" si="25"/>
        <v/>
      </c>
      <c r="R61" s="13"/>
      <c r="S61" s="16"/>
      <c r="T61" s="5">
        <f t="shared" si="26"/>
        <v>0</v>
      </c>
      <c r="U61" s="6" t="str">
        <f t="shared" si="27"/>
        <v/>
      </c>
      <c r="V61" s="13"/>
      <c r="W61" s="16"/>
      <c r="X61" s="5">
        <f t="shared" si="28"/>
        <v>0</v>
      </c>
      <c r="Y61" s="6" t="str">
        <f t="shared" si="29"/>
        <v/>
      </c>
      <c r="Z61" s="15">
        <f>180</f>
        <v>180</v>
      </c>
      <c r="AA61" s="14">
        <v>250</v>
      </c>
      <c r="AB61" s="5">
        <f t="shared" si="30"/>
        <v>-70</v>
      </c>
      <c r="AC61" s="6">
        <f t="shared" si="31"/>
        <v>0.72</v>
      </c>
      <c r="AD61" s="15">
        <f t="shared" si="32"/>
        <v>180</v>
      </c>
      <c r="AE61" s="16">
        <f t="shared" si="33"/>
        <v>250</v>
      </c>
      <c r="AF61" s="5">
        <f t="shared" si="34"/>
        <v>-70</v>
      </c>
      <c r="AG61" s="6">
        <f t="shared" si="35"/>
        <v>0.72</v>
      </c>
    </row>
    <row r="62" spans="1:33" ht="14.25" customHeight="1" x14ac:dyDescent="0.45">
      <c r="A62" s="3" t="s">
        <v>68</v>
      </c>
      <c r="B62" s="13"/>
      <c r="C62" s="14"/>
      <c r="D62" s="5">
        <f t="shared" si="18"/>
        <v>0</v>
      </c>
      <c r="E62" s="6" t="str">
        <f t="shared" si="19"/>
        <v/>
      </c>
      <c r="F62" s="13"/>
      <c r="G62" s="14"/>
      <c r="H62" s="5">
        <f t="shared" si="20"/>
        <v>0</v>
      </c>
      <c r="I62" s="6" t="str">
        <f t="shared" si="21"/>
        <v/>
      </c>
      <c r="J62" s="13"/>
      <c r="K62" s="14"/>
      <c r="L62" s="5">
        <f t="shared" si="22"/>
        <v>0</v>
      </c>
      <c r="M62" s="6" t="str">
        <f t="shared" si="23"/>
        <v/>
      </c>
      <c r="N62" s="13"/>
      <c r="O62" s="14"/>
      <c r="P62" s="5">
        <f t="shared" si="24"/>
        <v>0</v>
      </c>
      <c r="Q62" s="6" t="str">
        <f t="shared" si="25"/>
        <v/>
      </c>
      <c r="R62" s="13"/>
      <c r="S62" s="14"/>
      <c r="T62" s="5">
        <f t="shared" si="26"/>
        <v>0</v>
      </c>
      <c r="U62" s="6" t="str">
        <f t="shared" si="27"/>
        <v/>
      </c>
      <c r="V62" s="13"/>
      <c r="W62" s="14"/>
      <c r="X62" s="5">
        <f t="shared" si="28"/>
        <v>0</v>
      </c>
      <c r="Y62" s="6" t="str">
        <f t="shared" si="29"/>
        <v/>
      </c>
      <c r="Z62" s="15">
        <f>9543.14</f>
        <v>9543.14</v>
      </c>
      <c r="AA62" s="16">
        <v>10000</v>
      </c>
      <c r="AB62" s="5">
        <f t="shared" si="30"/>
        <v>-456.86000000000058</v>
      </c>
      <c r="AC62" s="6">
        <f t="shared" si="31"/>
        <v>0.954314</v>
      </c>
      <c r="AD62" s="15">
        <f t="shared" si="32"/>
        <v>9543.14</v>
      </c>
      <c r="AE62" s="16">
        <f t="shared" si="33"/>
        <v>10000</v>
      </c>
      <c r="AF62" s="5">
        <f t="shared" si="34"/>
        <v>-456.86000000000058</v>
      </c>
      <c r="AG62" s="6">
        <f t="shared" si="35"/>
        <v>0.954314</v>
      </c>
    </row>
    <row r="63" spans="1:33" ht="14.25" customHeight="1" x14ac:dyDescent="0.45">
      <c r="A63" s="3" t="s">
        <v>69</v>
      </c>
      <c r="B63" s="13"/>
      <c r="C63" s="14"/>
      <c r="D63" s="5">
        <f t="shared" ref="D63:D88" si="36">(B63)-(C63)</f>
        <v>0</v>
      </c>
      <c r="E63" s="6" t="str">
        <f t="shared" ref="E63:E88" si="37">IF(C63=0,"",(B63)/(C63))</f>
        <v/>
      </c>
      <c r="F63" s="13"/>
      <c r="G63" s="14"/>
      <c r="H63" s="5">
        <f t="shared" ref="H63:H88" si="38">(F63)-(G63)</f>
        <v>0</v>
      </c>
      <c r="I63" s="6" t="str">
        <f t="shared" ref="I63:I88" si="39">IF(G63=0,"",(F63)/(G63))</f>
        <v/>
      </c>
      <c r="J63" s="13"/>
      <c r="K63" s="14"/>
      <c r="L63" s="5">
        <f t="shared" ref="L63:L88" si="40">(J63)-(K63)</f>
        <v>0</v>
      </c>
      <c r="M63" s="6" t="str">
        <f t="shared" ref="M63:M88" si="41">IF(K63=0,"",(J63)/(K63))</f>
        <v/>
      </c>
      <c r="N63" s="13"/>
      <c r="O63" s="14"/>
      <c r="P63" s="5">
        <f t="shared" ref="P63:P88" si="42">(N63)-(O63)</f>
        <v>0</v>
      </c>
      <c r="Q63" s="6" t="str">
        <f t="shared" ref="Q63:Q88" si="43">IF(O63=0,"",(N63)/(O63))</f>
        <v/>
      </c>
      <c r="R63" s="13"/>
      <c r="S63" s="14"/>
      <c r="T63" s="5">
        <f t="shared" ref="T63:T88" si="44">(R63)-(S63)</f>
        <v>0</v>
      </c>
      <c r="U63" s="6" t="str">
        <f t="shared" ref="U63:U88" si="45">IF(S63=0,"",(R63)/(S63))</f>
        <v/>
      </c>
      <c r="V63" s="13"/>
      <c r="W63" s="14"/>
      <c r="X63" s="5">
        <f t="shared" ref="X63:X88" si="46">(V63)-(W63)</f>
        <v>0</v>
      </c>
      <c r="Y63" s="6" t="str">
        <f t="shared" ref="Y63:Y88" si="47">IF(W63=0,"",(V63)/(W63))</f>
        <v/>
      </c>
      <c r="Z63" s="15">
        <f>46499.9</f>
        <v>46499.9</v>
      </c>
      <c r="AA63" s="16">
        <v>49000</v>
      </c>
      <c r="AB63" s="5">
        <f t="shared" ref="AB63:AB88" si="48">(Z63)-(AA63)</f>
        <v>-2500.0999999999985</v>
      </c>
      <c r="AC63" s="6">
        <f t="shared" ref="AC63:AC88" si="49">IF(AA63=0,"",(Z63)/(AA63))</f>
        <v>0.94897755102040815</v>
      </c>
      <c r="AD63" s="15">
        <f t="shared" ref="AD63:AD88" si="50">((((((B63)+(F63))+(J63))+(N63))+(R63))+(V63))+(Z63)</f>
        <v>46499.9</v>
      </c>
      <c r="AE63" s="16">
        <f t="shared" ref="AE63:AE88" si="51">((((((C63)+(G63))+(K63))+(O63))+(S63))+(W63))+(AA63)</f>
        <v>49000</v>
      </c>
      <c r="AF63" s="5">
        <f t="shared" ref="AF63:AF88" si="52">(AD63)-(AE63)</f>
        <v>-2500.0999999999985</v>
      </c>
      <c r="AG63" s="6">
        <f t="shared" ref="AG63:AG88" si="53">IF(AE63=0,"",(AD63)/(AE63))</f>
        <v>0.94897755102040815</v>
      </c>
    </row>
    <row r="64" spans="1:33" ht="14.25" customHeight="1" x14ac:dyDescent="0.45">
      <c r="A64" s="3" t="s">
        <v>70</v>
      </c>
      <c r="B64" s="15">
        <f>112.41</f>
        <v>112.41</v>
      </c>
      <c r="C64" s="16">
        <v>200</v>
      </c>
      <c r="D64" s="5">
        <f t="shared" si="36"/>
        <v>-87.59</v>
      </c>
      <c r="E64" s="6">
        <f t="shared" si="37"/>
        <v>0.56204999999999994</v>
      </c>
      <c r="F64" s="13"/>
      <c r="G64" s="16">
        <v>500</v>
      </c>
      <c r="H64" s="5">
        <f t="shared" si="38"/>
        <v>-500</v>
      </c>
      <c r="I64" s="6">
        <f t="shared" si="39"/>
        <v>0</v>
      </c>
      <c r="J64" s="13"/>
      <c r="K64" s="16">
        <v>150</v>
      </c>
      <c r="L64" s="5">
        <f t="shared" si="40"/>
        <v>-150</v>
      </c>
      <c r="M64" s="6">
        <f t="shared" si="41"/>
        <v>0</v>
      </c>
      <c r="N64" s="15">
        <f>2780.49</f>
        <v>2780.49</v>
      </c>
      <c r="O64" s="16">
        <v>3000</v>
      </c>
      <c r="P64" s="5">
        <f t="shared" si="42"/>
        <v>-219.51000000000022</v>
      </c>
      <c r="Q64" s="6">
        <f t="shared" si="43"/>
        <v>0.92682999999999993</v>
      </c>
      <c r="R64" s="15">
        <f>452.26</f>
        <v>452.26</v>
      </c>
      <c r="S64" s="16">
        <v>500</v>
      </c>
      <c r="T64" s="5">
        <f t="shared" si="44"/>
        <v>-47.740000000000009</v>
      </c>
      <c r="U64" s="6">
        <f t="shared" si="45"/>
        <v>0.90451999999999999</v>
      </c>
      <c r="V64" s="15">
        <f>1020.74</f>
        <v>1020.74</v>
      </c>
      <c r="W64" s="16">
        <v>1000</v>
      </c>
      <c r="X64" s="5">
        <f t="shared" si="46"/>
        <v>20.740000000000009</v>
      </c>
      <c r="Y64" s="6">
        <f t="shared" si="47"/>
        <v>1.02074</v>
      </c>
      <c r="Z64" s="15">
        <f>396.45</f>
        <v>396.45</v>
      </c>
      <c r="AA64" s="16">
        <v>500</v>
      </c>
      <c r="AB64" s="5">
        <f t="shared" si="48"/>
        <v>-103.55000000000001</v>
      </c>
      <c r="AC64" s="6">
        <f t="shared" si="49"/>
        <v>0.79289999999999994</v>
      </c>
      <c r="AD64" s="15">
        <f t="shared" si="50"/>
        <v>4762.3499999999995</v>
      </c>
      <c r="AE64" s="16">
        <f t="shared" si="51"/>
        <v>5850</v>
      </c>
      <c r="AF64" s="5">
        <f t="shared" si="52"/>
        <v>-1087.6500000000005</v>
      </c>
      <c r="AG64" s="6">
        <f t="shared" si="53"/>
        <v>0.81407692307692303</v>
      </c>
    </row>
    <row r="65" spans="1:33" ht="14.25" customHeight="1" x14ac:dyDescent="0.45">
      <c r="A65" s="3" t="s">
        <v>71</v>
      </c>
      <c r="B65" s="13"/>
      <c r="C65" s="14"/>
      <c r="D65" s="5">
        <f t="shared" si="36"/>
        <v>0</v>
      </c>
      <c r="E65" s="6" t="str">
        <f t="shared" si="37"/>
        <v/>
      </c>
      <c r="F65" s="13"/>
      <c r="G65" s="14"/>
      <c r="H65" s="5">
        <f t="shared" si="38"/>
        <v>0</v>
      </c>
      <c r="I65" s="6" t="str">
        <f t="shared" si="39"/>
        <v/>
      </c>
      <c r="J65" s="13"/>
      <c r="K65" s="14"/>
      <c r="L65" s="5">
        <f t="shared" si="40"/>
        <v>0</v>
      </c>
      <c r="M65" s="6" t="str">
        <f t="shared" si="41"/>
        <v/>
      </c>
      <c r="N65" s="13"/>
      <c r="O65" s="14"/>
      <c r="P65" s="5">
        <f t="shared" si="42"/>
        <v>0</v>
      </c>
      <c r="Q65" s="6" t="str">
        <f t="shared" si="43"/>
        <v/>
      </c>
      <c r="R65" s="15">
        <f>465.91</f>
        <v>465.91</v>
      </c>
      <c r="S65" s="16">
        <v>500</v>
      </c>
      <c r="T65" s="5">
        <f t="shared" si="44"/>
        <v>-34.089999999999975</v>
      </c>
      <c r="U65" s="6">
        <f t="shared" si="45"/>
        <v>0.93182000000000009</v>
      </c>
      <c r="V65" s="13"/>
      <c r="W65" s="14"/>
      <c r="X65" s="5">
        <f t="shared" si="46"/>
        <v>0</v>
      </c>
      <c r="Y65" s="6" t="str">
        <f t="shared" si="47"/>
        <v/>
      </c>
      <c r="Z65" s="13"/>
      <c r="AA65" s="14"/>
      <c r="AB65" s="5">
        <f t="shared" si="48"/>
        <v>0</v>
      </c>
      <c r="AC65" s="6" t="str">
        <f t="shared" si="49"/>
        <v/>
      </c>
      <c r="AD65" s="15">
        <f t="shared" si="50"/>
        <v>465.91</v>
      </c>
      <c r="AE65" s="16">
        <f t="shared" si="51"/>
        <v>500</v>
      </c>
      <c r="AF65" s="5">
        <f t="shared" si="52"/>
        <v>-34.089999999999975</v>
      </c>
      <c r="AG65" s="6">
        <f t="shared" si="53"/>
        <v>0.93182000000000009</v>
      </c>
    </row>
    <row r="66" spans="1:33" ht="14.25" customHeight="1" x14ac:dyDescent="0.45">
      <c r="A66" s="3" t="s">
        <v>72</v>
      </c>
      <c r="B66" s="13"/>
      <c r="C66" s="14"/>
      <c r="D66" s="5">
        <f t="shared" si="36"/>
        <v>0</v>
      </c>
      <c r="E66" s="6" t="str">
        <f t="shared" si="37"/>
        <v/>
      </c>
      <c r="F66" s="15">
        <f>53815.25</f>
        <v>53815.25</v>
      </c>
      <c r="G66" s="16">
        <v>50000</v>
      </c>
      <c r="H66" s="5">
        <f t="shared" si="38"/>
        <v>3815.25</v>
      </c>
      <c r="I66" s="6">
        <f t="shared" si="39"/>
        <v>1.0763050000000001</v>
      </c>
      <c r="J66" s="15">
        <f>5297</f>
        <v>5297</v>
      </c>
      <c r="K66" s="16">
        <v>6000</v>
      </c>
      <c r="L66" s="5">
        <f t="shared" si="40"/>
        <v>-703</v>
      </c>
      <c r="M66" s="6">
        <f t="shared" si="41"/>
        <v>0.88283333333333336</v>
      </c>
      <c r="N66" s="15">
        <f>2704</f>
        <v>2704</v>
      </c>
      <c r="O66" s="16">
        <v>2500</v>
      </c>
      <c r="P66" s="5">
        <f t="shared" si="42"/>
        <v>204</v>
      </c>
      <c r="Q66" s="6">
        <f t="shared" si="43"/>
        <v>1.0815999999999999</v>
      </c>
      <c r="R66" s="13"/>
      <c r="S66" s="14"/>
      <c r="T66" s="5">
        <f t="shared" si="44"/>
        <v>0</v>
      </c>
      <c r="U66" s="6" t="str">
        <f t="shared" si="45"/>
        <v/>
      </c>
      <c r="V66" s="15">
        <f>51806</f>
        <v>51806</v>
      </c>
      <c r="W66" s="16">
        <v>50000</v>
      </c>
      <c r="X66" s="5">
        <f t="shared" si="46"/>
        <v>1806</v>
      </c>
      <c r="Y66" s="6">
        <f t="shared" si="47"/>
        <v>1.0361199999999999</v>
      </c>
      <c r="Z66" s="13"/>
      <c r="AA66" s="14"/>
      <c r="AB66" s="5">
        <f t="shared" si="48"/>
        <v>0</v>
      </c>
      <c r="AC66" s="6" t="str">
        <f t="shared" si="49"/>
        <v/>
      </c>
      <c r="AD66" s="15">
        <f t="shared" si="50"/>
        <v>113622.25</v>
      </c>
      <c r="AE66" s="16">
        <f t="shared" si="51"/>
        <v>108500</v>
      </c>
      <c r="AF66" s="5">
        <f t="shared" si="52"/>
        <v>5122.25</v>
      </c>
      <c r="AG66" s="6">
        <f t="shared" si="53"/>
        <v>1.0472096774193549</v>
      </c>
    </row>
    <row r="67" spans="1:33" ht="14.25" customHeight="1" x14ac:dyDescent="0.45">
      <c r="A67" s="3" t="s">
        <v>73</v>
      </c>
      <c r="B67" s="15">
        <f>107860.25</f>
        <v>107860.25</v>
      </c>
      <c r="C67" s="16">
        <v>95000</v>
      </c>
      <c r="D67" s="5">
        <f t="shared" si="36"/>
        <v>12860.25</v>
      </c>
      <c r="E67" s="6">
        <f t="shared" si="37"/>
        <v>1.135371052631579</v>
      </c>
      <c r="F67" s="13"/>
      <c r="G67" s="14"/>
      <c r="H67" s="5">
        <f t="shared" si="38"/>
        <v>0</v>
      </c>
      <c r="I67" s="6" t="str">
        <f t="shared" si="39"/>
        <v/>
      </c>
      <c r="J67" s="15">
        <f>31573.54</f>
        <v>31573.54</v>
      </c>
      <c r="K67" s="16">
        <v>30000</v>
      </c>
      <c r="L67" s="5">
        <f t="shared" si="40"/>
        <v>1573.5400000000009</v>
      </c>
      <c r="M67" s="6">
        <f t="shared" si="41"/>
        <v>1.0524513333333334</v>
      </c>
      <c r="N67" s="13"/>
      <c r="O67" s="14"/>
      <c r="P67" s="5">
        <f t="shared" si="42"/>
        <v>0</v>
      </c>
      <c r="Q67" s="6" t="str">
        <f t="shared" si="43"/>
        <v/>
      </c>
      <c r="R67" s="13"/>
      <c r="S67" s="14"/>
      <c r="T67" s="5">
        <f t="shared" si="44"/>
        <v>0</v>
      </c>
      <c r="U67" s="6" t="str">
        <f t="shared" si="45"/>
        <v/>
      </c>
      <c r="V67" s="13"/>
      <c r="W67" s="14"/>
      <c r="X67" s="5">
        <f t="shared" si="46"/>
        <v>0</v>
      </c>
      <c r="Y67" s="6" t="str">
        <f t="shared" si="47"/>
        <v/>
      </c>
      <c r="Z67" s="13"/>
      <c r="AA67" s="14"/>
      <c r="AB67" s="5">
        <f t="shared" si="48"/>
        <v>0</v>
      </c>
      <c r="AC67" s="6" t="str">
        <f t="shared" si="49"/>
        <v/>
      </c>
      <c r="AD67" s="15">
        <f t="shared" si="50"/>
        <v>139433.79</v>
      </c>
      <c r="AE67" s="16">
        <f t="shared" si="51"/>
        <v>125000</v>
      </c>
      <c r="AF67" s="5">
        <f t="shared" si="52"/>
        <v>14433.790000000008</v>
      </c>
      <c r="AG67" s="6">
        <f t="shared" si="53"/>
        <v>1.11547032</v>
      </c>
    </row>
    <row r="68" spans="1:33" ht="14.25" customHeight="1" x14ac:dyDescent="0.45">
      <c r="A68" s="3" t="s">
        <v>74</v>
      </c>
      <c r="B68" s="13"/>
      <c r="C68" s="14"/>
      <c r="D68" s="5">
        <f t="shared" si="36"/>
        <v>0</v>
      </c>
      <c r="E68" s="6" t="str">
        <f t="shared" si="37"/>
        <v/>
      </c>
      <c r="F68" s="13"/>
      <c r="G68" s="14"/>
      <c r="H68" s="5">
        <f t="shared" si="38"/>
        <v>0</v>
      </c>
      <c r="I68" s="6" t="str">
        <f t="shared" si="39"/>
        <v/>
      </c>
      <c r="J68" s="13"/>
      <c r="K68" s="14"/>
      <c r="L68" s="5">
        <f t="shared" si="40"/>
        <v>0</v>
      </c>
      <c r="M68" s="6" t="str">
        <f t="shared" si="41"/>
        <v/>
      </c>
      <c r="N68" s="15">
        <f>135.76</f>
        <v>135.76</v>
      </c>
      <c r="O68" s="14">
        <v>250</v>
      </c>
      <c r="P68" s="5">
        <f t="shared" si="42"/>
        <v>-114.24000000000001</v>
      </c>
      <c r="Q68" s="6">
        <f t="shared" si="43"/>
        <v>0.54303999999999997</v>
      </c>
      <c r="R68" s="13"/>
      <c r="S68" s="14"/>
      <c r="T68" s="5">
        <f t="shared" si="44"/>
        <v>0</v>
      </c>
      <c r="U68" s="6" t="str">
        <f t="shared" si="45"/>
        <v/>
      </c>
      <c r="V68" s="13"/>
      <c r="W68" s="14"/>
      <c r="X68" s="5">
        <f t="shared" si="46"/>
        <v>0</v>
      </c>
      <c r="Y68" s="6" t="str">
        <f t="shared" si="47"/>
        <v/>
      </c>
      <c r="Z68" s="13"/>
      <c r="AA68" s="14"/>
      <c r="AB68" s="5">
        <f t="shared" si="48"/>
        <v>0</v>
      </c>
      <c r="AC68" s="6" t="str">
        <f t="shared" si="49"/>
        <v/>
      </c>
      <c r="AD68" s="15">
        <f t="shared" si="50"/>
        <v>135.76</v>
      </c>
      <c r="AE68" s="16">
        <f t="shared" si="51"/>
        <v>250</v>
      </c>
      <c r="AF68" s="5">
        <f t="shared" si="52"/>
        <v>-114.24000000000001</v>
      </c>
      <c r="AG68" s="6">
        <f t="shared" si="53"/>
        <v>0.54303999999999997</v>
      </c>
    </row>
    <row r="69" spans="1:33" ht="14.25" customHeight="1" x14ac:dyDescent="0.45">
      <c r="A69" s="3" t="s">
        <v>75</v>
      </c>
      <c r="B69" s="13"/>
      <c r="C69" s="14"/>
      <c r="D69" s="5">
        <f t="shared" si="36"/>
        <v>0</v>
      </c>
      <c r="E69" s="6" t="str">
        <f t="shared" si="37"/>
        <v/>
      </c>
      <c r="F69" s="13"/>
      <c r="G69" s="14"/>
      <c r="H69" s="5">
        <f t="shared" si="38"/>
        <v>0</v>
      </c>
      <c r="I69" s="6" t="str">
        <f t="shared" si="39"/>
        <v/>
      </c>
      <c r="J69" s="13"/>
      <c r="K69" s="14"/>
      <c r="L69" s="5">
        <f t="shared" si="40"/>
        <v>0</v>
      </c>
      <c r="M69" s="6" t="str">
        <f t="shared" si="41"/>
        <v/>
      </c>
      <c r="N69" s="13"/>
      <c r="O69" s="14"/>
      <c r="P69" s="5">
        <f t="shared" si="42"/>
        <v>0</v>
      </c>
      <c r="Q69" s="6" t="str">
        <f t="shared" si="43"/>
        <v/>
      </c>
      <c r="R69" s="13"/>
      <c r="S69" s="14"/>
      <c r="T69" s="5">
        <f t="shared" si="44"/>
        <v>0</v>
      </c>
      <c r="U69" s="6" t="str">
        <f t="shared" si="45"/>
        <v/>
      </c>
      <c r="V69" s="13"/>
      <c r="W69" s="14"/>
      <c r="X69" s="5">
        <f t="shared" si="46"/>
        <v>0</v>
      </c>
      <c r="Y69" s="6" t="str">
        <f t="shared" si="47"/>
        <v/>
      </c>
      <c r="Z69" s="15">
        <f>19625.47</f>
        <v>19625.47</v>
      </c>
      <c r="AA69" s="16">
        <v>21000</v>
      </c>
      <c r="AB69" s="5">
        <f t="shared" si="48"/>
        <v>-1374.5299999999988</v>
      </c>
      <c r="AC69" s="6">
        <f t="shared" si="49"/>
        <v>0.93454619047619059</v>
      </c>
      <c r="AD69" s="15">
        <f t="shared" si="50"/>
        <v>19625.47</v>
      </c>
      <c r="AE69" s="16">
        <f t="shared" si="51"/>
        <v>21000</v>
      </c>
      <c r="AF69" s="5">
        <f t="shared" si="52"/>
        <v>-1374.5299999999988</v>
      </c>
      <c r="AG69" s="6">
        <f t="shared" si="53"/>
        <v>0.93454619047619059</v>
      </c>
    </row>
    <row r="70" spans="1:33" ht="14.25" customHeight="1" x14ac:dyDescent="0.45">
      <c r="A70" s="3" t="s">
        <v>76</v>
      </c>
      <c r="B70" s="13"/>
      <c r="C70" s="14"/>
      <c r="D70" s="5">
        <f t="shared" si="36"/>
        <v>0</v>
      </c>
      <c r="E70" s="6" t="str">
        <f t="shared" si="37"/>
        <v/>
      </c>
      <c r="F70" s="13"/>
      <c r="G70" s="14"/>
      <c r="H70" s="5">
        <f t="shared" si="38"/>
        <v>0</v>
      </c>
      <c r="I70" s="6" t="str">
        <f t="shared" si="39"/>
        <v/>
      </c>
      <c r="J70" s="13"/>
      <c r="K70" s="14"/>
      <c r="L70" s="5">
        <f t="shared" si="40"/>
        <v>0</v>
      </c>
      <c r="M70" s="6" t="str">
        <f t="shared" si="41"/>
        <v/>
      </c>
      <c r="N70" s="15">
        <f>45000</f>
        <v>45000</v>
      </c>
      <c r="O70" s="16">
        <v>50000</v>
      </c>
      <c r="P70" s="5">
        <f t="shared" si="42"/>
        <v>-5000</v>
      </c>
      <c r="Q70" s="6">
        <f t="shared" si="43"/>
        <v>0.9</v>
      </c>
      <c r="R70" s="13"/>
      <c r="S70" s="14"/>
      <c r="T70" s="5">
        <f t="shared" si="44"/>
        <v>0</v>
      </c>
      <c r="U70" s="6" t="str">
        <f t="shared" si="45"/>
        <v/>
      </c>
      <c r="V70" s="13"/>
      <c r="W70" s="14"/>
      <c r="X70" s="5">
        <f t="shared" si="46"/>
        <v>0</v>
      </c>
      <c r="Y70" s="6" t="str">
        <f t="shared" si="47"/>
        <v/>
      </c>
      <c r="Z70" s="15">
        <f>627312.53</f>
        <v>627312.53</v>
      </c>
      <c r="AA70" s="16">
        <v>645000</v>
      </c>
      <c r="AB70" s="5">
        <f t="shared" si="48"/>
        <v>-17687.469999999972</v>
      </c>
      <c r="AC70" s="6">
        <f t="shared" si="49"/>
        <v>0.97257756589147293</v>
      </c>
      <c r="AD70" s="15">
        <f t="shared" si="50"/>
        <v>672312.53</v>
      </c>
      <c r="AE70" s="16">
        <f t="shared" si="51"/>
        <v>695000</v>
      </c>
      <c r="AF70" s="5">
        <f t="shared" si="52"/>
        <v>-22687.469999999972</v>
      </c>
      <c r="AG70" s="6">
        <f t="shared" si="53"/>
        <v>0.96735615827338128</v>
      </c>
    </row>
    <row r="71" spans="1:33" ht="14.25" customHeight="1" x14ac:dyDescent="0.45">
      <c r="A71" s="3" t="s">
        <v>77</v>
      </c>
      <c r="B71" s="15">
        <f>4000</f>
        <v>4000</v>
      </c>
      <c r="C71" s="16">
        <f>6000</f>
        <v>6000</v>
      </c>
      <c r="D71" s="5">
        <f t="shared" si="36"/>
        <v>-2000</v>
      </c>
      <c r="E71" s="6">
        <f t="shared" si="37"/>
        <v>0.66666666666666663</v>
      </c>
      <c r="F71" s="13"/>
      <c r="G71" s="14"/>
      <c r="H71" s="5">
        <f t="shared" si="38"/>
        <v>0</v>
      </c>
      <c r="I71" s="6" t="str">
        <f t="shared" si="39"/>
        <v/>
      </c>
      <c r="J71" s="13"/>
      <c r="K71" s="14"/>
      <c r="L71" s="5">
        <f t="shared" si="40"/>
        <v>0</v>
      </c>
      <c r="M71" s="6" t="str">
        <f t="shared" si="41"/>
        <v/>
      </c>
      <c r="N71" s="13"/>
      <c r="O71" s="14"/>
      <c r="P71" s="5">
        <f t="shared" si="42"/>
        <v>0</v>
      </c>
      <c r="Q71" s="6" t="str">
        <f t="shared" si="43"/>
        <v/>
      </c>
      <c r="R71" s="13"/>
      <c r="S71" s="14"/>
      <c r="T71" s="5">
        <f t="shared" si="44"/>
        <v>0</v>
      </c>
      <c r="U71" s="6" t="str">
        <f t="shared" si="45"/>
        <v/>
      </c>
      <c r="V71" s="13"/>
      <c r="W71" s="14"/>
      <c r="X71" s="5">
        <f t="shared" si="46"/>
        <v>0</v>
      </c>
      <c r="Y71" s="6" t="str">
        <f t="shared" si="47"/>
        <v/>
      </c>
      <c r="Z71" s="13"/>
      <c r="AA71" s="14"/>
      <c r="AB71" s="5">
        <f t="shared" si="48"/>
        <v>0</v>
      </c>
      <c r="AC71" s="6" t="str">
        <f t="shared" si="49"/>
        <v/>
      </c>
      <c r="AD71" s="15">
        <f t="shared" si="50"/>
        <v>4000</v>
      </c>
      <c r="AE71" s="16">
        <f t="shared" si="51"/>
        <v>6000</v>
      </c>
      <c r="AF71" s="5">
        <f t="shared" si="52"/>
        <v>-2000</v>
      </c>
      <c r="AG71" s="6">
        <f t="shared" si="53"/>
        <v>0.66666666666666663</v>
      </c>
    </row>
    <row r="72" spans="1:33" ht="14.25" customHeight="1" x14ac:dyDescent="0.45">
      <c r="A72" s="3" t="s">
        <v>78</v>
      </c>
      <c r="B72" s="15">
        <f>70</f>
        <v>70</v>
      </c>
      <c r="C72" s="14">
        <v>1000</v>
      </c>
      <c r="D72" s="5">
        <f t="shared" si="36"/>
        <v>-930</v>
      </c>
      <c r="E72" s="6">
        <f t="shared" si="37"/>
        <v>7.0000000000000007E-2</v>
      </c>
      <c r="F72" s="13"/>
      <c r="G72" s="14"/>
      <c r="H72" s="5">
        <f t="shared" si="38"/>
        <v>0</v>
      </c>
      <c r="I72" s="6" t="str">
        <f t="shared" si="39"/>
        <v/>
      </c>
      <c r="J72" s="13"/>
      <c r="K72" s="14"/>
      <c r="L72" s="5">
        <f t="shared" si="40"/>
        <v>0</v>
      </c>
      <c r="M72" s="6" t="str">
        <f t="shared" si="41"/>
        <v/>
      </c>
      <c r="N72" s="15">
        <f>13716.71</f>
        <v>13716.71</v>
      </c>
      <c r="O72" s="14">
        <v>15000</v>
      </c>
      <c r="P72" s="5">
        <f t="shared" si="42"/>
        <v>-1283.2900000000009</v>
      </c>
      <c r="Q72" s="6">
        <f t="shared" si="43"/>
        <v>0.91444733333333328</v>
      </c>
      <c r="R72" s="13"/>
      <c r="S72" s="14"/>
      <c r="T72" s="5">
        <f t="shared" si="44"/>
        <v>0</v>
      </c>
      <c r="U72" s="6" t="str">
        <f t="shared" si="45"/>
        <v/>
      </c>
      <c r="V72" s="13"/>
      <c r="W72" s="14"/>
      <c r="X72" s="5">
        <f t="shared" si="46"/>
        <v>0</v>
      </c>
      <c r="Y72" s="6" t="str">
        <f t="shared" si="47"/>
        <v/>
      </c>
      <c r="Z72" s="15">
        <f>53961.06</f>
        <v>53961.06</v>
      </c>
      <c r="AA72" s="16">
        <v>40000</v>
      </c>
      <c r="AB72" s="5">
        <f t="shared" si="48"/>
        <v>13961.059999999998</v>
      </c>
      <c r="AC72" s="6">
        <f t="shared" si="49"/>
        <v>1.3490264999999999</v>
      </c>
      <c r="AD72" s="15">
        <f t="shared" si="50"/>
        <v>67747.76999999999</v>
      </c>
      <c r="AE72" s="16">
        <f t="shared" si="51"/>
        <v>56000</v>
      </c>
      <c r="AF72" s="5">
        <f t="shared" si="52"/>
        <v>11747.76999999999</v>
      </c>
      <c r="AG72" s="6">
        <f t="shared" si="53"/>
        <v>1.2097816071428569</v>
      </c>
    </row>
    <row r="73" spans="1:33" ht="14.25" customHeight="1" x14ac:dyDescent="0.45">
      <c r="A73" s="3" t="s">
        <v>79</v>
      </c>
      <c r="B73" s="13"/>
      <c r="C73" s="16">
        <f>500</f>
        <v>500</v>
      </c>
      <c r="D73" s="5">
        <f t="shared" si="36"/>
        <v>-500</v>
      </c>
      <c r="E73" s="6">
        <f t="shared" si="37"/>
        <v>0</v>
      </c>
      <c r="F73" s="13"/>
      <c r="G73" s="14"/>
      <c r="H73" s="5">
        <f t="shared" si="38"/>
        <v>0</v>
      </c>
      <c r="I73" s="6" t="str">
        <f t="shared" si="39"/>
        <v/>
      </c>
      <c r="J73" s="13"/>
      <c r="K73" s="14"/>
      <c r="L73" s="5">
        <f t="shared" si="40"/>
        <v>0</v>
      </c>
      <c r="M73" s="6" t="str">
        <f t="shared" si="41"/>
        <v/>
      </c>
      <c r="N73" s="13"/>
      <c r="O73" s="14"/>
      <c r="P73" s="5">
        <f t="shared" si="42"/>
        <v>0</v>
      </c>
      <c r="Q73" s="6" t="str">
        <f t="shared" si="43"/>
        <v/>
      </c>
      <c r="R73" s="15">
        <f>119.99</f>
        <v>119.99</v>
      </c>
      <c r="S73" s="14">
        <v>200</v>
      </c>
      <c r="T73" s="5">
        <f t="shared" si="44"/>
        <v>-80.010000000000005</v>
      </c>
      <c r="U73" s="6">
        <f t="shared" si="45"/>
        <v>0.59994999999999998</v>
      </c>
      <c r="V73" s="13"/>
      <c r="W73" s="14"/>
      <c r="X73" s="5">
        <f t="shared" si="46"/>
        <v>0</v>
      </c>
      <c r="Y73" s="6" t="str">
        <f t="shared" si="47"/>
        <v/>
      </c>
      <c r="Z73" s="13"/>
      <c r="AA73" s="14"/>
      <c r="AB73" s="5">
        <f t="shared" si="48"/>
        <v>0</v>
      </c>
      <c r="AC73" s="6" t="str">
        <f t="shared" si="49"/>
        <v/>
      </c>
      <c r="AD73" s="15">
        <f t="shared" si="50"/>
        <v>119.99</v>
      </c>
      <c r="AE73" s="16">
        <f t="shared" si="51"/>
        <v>700</v>
      </c>
      <c r="AF73" s="5">
        <f t="shared" si="52"/>
        <v>-580.01</v>
      </c>
      <c r="AG73" s="6">
        <f t="shared" si="53"/>
        <v>0.17141428571428571</v>
      </c>
    </row>
    <row r="74" spans="1:33" ht="14.25" customHeight="1" x14ac:dyDescent="0.45">
      <c r="A74" s="3" t="s">
        <v>80</v>
      </c>
      <c r="B74" s="15">
        <f>0</f>
        <v>0</v>
      </c>
      <c r="C74" s="14"/>
      <c r="D74" s="5">
        <f t="shared" si="36"/>
        <v>0</v>
      </c>
      <c r="E74" s="6" t="str">
        <f t="shared" si="37"/>
        <v/>
      </c>
      <c r="F74" s="13"/>
      <c r="G74" s="14"/>
      <c r="H74" s="5">
        <f t="shared" si="38"/>
        <v>0</v>
      </c>
      <c r="I74" s="6" t="str">
        <f t="shared" si="39"/>
        <v/>
      </c>
      <c r="J74" s="13"/>
      <c r="K74" s="14"/>
      <c r="L74" s="5">
        <f t="shared" si="40"/>
        <v>0</v>
      </c>
      <c r="M74" s="6" t="str">
        <f t="shared" si="41"/>
        <v/>
      </c>
      <c r="N74" s="15">
        <f>0</f>
        <v>0</v>
      </c>
      <c r="O74" s="14"/>
      <c r="P74" s="5">
        <f t="shared" si="42"/>
        <v>0</v>
      </c>
      <c r="Q74" s="6" t="str">
        <f t="shared" si="43"/>
        <v/>
      </c>
      <c r="R74" s="13"/>
      <c r="S74" s="14"/>
      <c r="T74" s="5">
        <f t="shared" si="44"/>
        <v>0</v>
      </c>
      <c r="U74" s="6" t="str">
        <f t="shared" si="45"/>
        <v/>
      </c>
      <c r="V74" s="13"/>
      <c r="W74" s="14"/>
      <c r="X74" s="5">
        <f t="shared" si="46"/>
        <v>0</v>
      </c>
      <c r="Y74" s="6" t="str">
        <f t="shared" si="47"/>
        <v/>
      </c>
      <c r="Z74" s="15">
        <f>0</f>
        <v>0</v>
      </c>
      <c r="AA74" s="14"/>
      <c r="AB74" s="5">
        <f t="shared" si="48"/>
        <v>0</v>
      </c>
      <c r="AC74" s="6" t="str">
        <f t="shared" si="49"/>
        <v/>
      </c>
      <c r="AD74" s="15">
        <f t="shared" si="50"/>
        <v>0</v>
      </c>
      <c r="AE74" s="16">
        <f t="shared" si="51"/>
        <v>0</v>
      </c>
      <c r="AF74" s="5">
        <f t="shared" si="52"/>
        <v>0</v>
      </c>
      <c r="AG74" s="6" t="str">
        <f t="shared" si="53"/>
        <v/>
      </c>
    </row>
    <row r="75" spans="1:33" ht="14.25" customHeight="1" x14ac:dyDescent="0.45">
      <c r="A75" s="3" t="s">
        <v>81</v>
      </c>
      <c r="B75" s="13"/>
      <c r="C75" s="14"/>
      <c r="D75" s="5">
        <f t="shared" si="36"/>
        <v>0</v>
      </c>
      <c r="E75" s="6" t="str">
        <f t="shared" si="37"/>
        <v/>
      </c>
      <c r="F75" s="13"/>
      <c r="G75" s="14"/>
      <c r="H75" s="5">
        <f t="shared" si="38"/>
        <v>0</v>
      </c>
      <c r="I75" s="6" t="str">
        <f t="shared" si="39"/>
        <v/>
      </c>
      <c r="J75" s="13"/>
      <c r="K75" s="14"/>
      <c r="L75" s="5">
        <f t="shared" si="40"/>
        <v>0</v>
      </c>
      <c r="M75" s="6" t="str">
        <f t="shared" si="41"/>
        <v/>
      </c>
      <c r="N75" s="13"/>
      <c r="O75" s="14"/>
      <c r="P75" s="5">
        <f t="shared" si="42"/>
        <v>0</v>
      </c>
      <c r="Q75" s="6" t="str">
        <f t="shared" si="43"/>
        <v/>
      </c>
      <c r="R75" s="13"/>
      <c r="S75" s="14"/>
      <c r="T75" s="5">
        <f t="shared" si="44"/>
        <v>0</v>
      </c>
      <c r="U75" s="6" t="str">
        <f t="shared" si="45"/>
        <v/>
      </c>
      <c r="V75" s="13"/>
      <c r="W75" s="14"/>
      <c r="X75" s="5">
        <f t="shared" si="46"/>
        <v>0</v>
      </c>
      <c r="Y75" s="6" t="str">
        <f t="shared" si="47"/>
        <v/>
      </c>
      <c r="Z75" s="15">
        <f>455.58</f>
        <v>455.58</v>
      </c>
      <c r="AA75" s="16">
        <v>500</v>
      </c>
      <c r="AB75" s="5">
        <f t="shared" si="48"/>
        <v>-44.420000000000016</v>
      </c>
      <c r="AC75" s="6">
        <f t="shared" si="49"/>
        <v>0.91115999999999997</v>
      </c>
      <c r="AD75" s="15">
        <f t="shared" si="50"/>
        <v>455.58</v>
      </c>
      <c r="AE75" s="16">
        <f t="shared" si="51"/>
        <v>500</v>
      </c>
      <c r="AF75" s="5">
        <f t="shared" si="52"/>
        <v>-44.420000000000016</v>
      </c>
      <c r="AG75" s="6">
        <f t="shared" si="53"/>
        <v>0.91115999999999997</v>
      </c>
    </row>
    <row r="76" spans="1:33" ht="14.25" customHeight="1" x14ac:dyDescent="0.45">
      <c r="A76" s="3" t="s">
        <v>82</v>
      </c>
      <c r="B76" s="13"/>
      <c r="C76" s="14"/>
      <c r="D76" s="5">
        <f t="shared" si="36"/>
        <v>0</v>
      </c>
      <c r="E76" s="6" t="str">
        <f t="shared" si="37"/>
        <v/>
      </c>
      <c r="F76" s="13"/>
      <c r="G76" s="14"/>
      <c r="H76" s="5">
        <f t="shared" si="38"/>
        <v>0</v>
      </c>
      <c r="I76" s="6" t="str">
        <f t="shared" si="39"/>
        <v/>
      </c>
      <c r="J76" s="13"/>
      <c r="K76" s="14"/>
      <c r="L76" s="5">
        <f t="shared" si="40"/>
        <v>0</v>
      </c>
      <c r="M76" s="6" t="str">
        <f t="shared" si="41"/>
        <v/>
      </c>
      <c r="N76" s="15">
        <f>355.44</f>
        <v>355.44</v>
      </c>
      <c r="O76" s="16">
        <v>500</v>
      </c>
      <c r="P76" s="5">
        <f t="shared" si="42"/>
        <v>-144.56</v>
      </c>
      <c r="Q76" s="6">
        <f t="shared" si="43"/>
        <v>0.71087999999999996</v>
      </c>
      <c r="R76" s="15">
        <f>327.8</f>
        <v>327.8</v>
      </c>
      <c r="S76" s="16">
        <f>500</f>
        <v>500</v>
      </c>
      <c r="T76" s="5">
        <f t="shared" si="44"/>
        <v>-172.2</v>
      </c>
      <c r="U76" s="6">
        <f t="shared" si="45"/>
        <v>0.65560000000000007</v>
      </c>
      <c r="V76" s="15">
        <f>429.91</f>
        <v>429.91</v>
      </c>
      <c r="W76" s="14">
        <v>500</v>
      </c>
      <c r="X76" s="5">
        <f t="shared" si="46"/>
        <v>-70.089999999999975</v>
      </c>
      <c r="Y76" s="6">
        <f t="shared" si="47"/>
        <v>0.85982000000000003</v>
      </c>
      <c r="Z76" s="15">
        <f>12709.27</f>
        <v>12709.27</v>
      </c>
      <c r="AA76" s="16">
        <v>13000</v>
      </c>
      <c r="AB76" s="5">
        <f t="shared" si="48"/>
        <v>-290.72999999999956</v>
      </c>
      <c r="AC76" s="6">
        <f t="shared" si="49"/>
        <v>0.97763615384615388</v>
      </c>
      <c r="AD76" s="15">
        <f t="shared" si="50"/>
        <v>13822.42</v>
      </c>
      <c r="AE76" s="16">
        <f t="shared" si="51"/>
        <v>14500</v>
      </c>
      <c r="AF76" s="5">
        <f t="shared" si="52"/>
        <v>-677.57999999999993</v>
      </c>
      <c r="AG76" s="6">
        <f t="shared" si="53"/>
        <v>0.95327034482758621</v>
      </c>
    </row>
    <row r="77" spans="1:33" ht="14.25" customHeight="1" x14ac:dyDescent="0.45">
      <c r="A77" s="3" t="s">
        <v>83</v>
      </c>
      <c r="B77" s="15">
        <f>43200</f>
        <v>43200</v>
      </c>
      <c r="C77" s="16">
        <v>45000</v>
      </c>
      <c r="D77" s="5">
        <f t="shared" si="36"/>
        <v>-1800</v>
      </c>
      <c r="E77" s="6">
        <f t="shared" si="37"/>
        <v>0.96</v>
      </c>
      <c r="F77" s="15">
        <f>5331.69</f>
        <v>5331.69</v>
      </c>
      <c r="G77" s="16">
        <v>7000</v>
      </c>
      <c r="H77" s="5">
        <f t="shared" si="38"/>
        <v>-1668.3100000000004</v>
      </c>
      <c r="I77" s="6">
        <f t="shared" si="39"/>
        <v>0.76166999999999996</v>
      </c>
      <c r="J77" s="15">
        <f>524.64</f>
        <v>524.64</v>
      </c>
      <c r="K77" s="16">
        <v>1500</v>
      </c>
      <c r="L77" s="5">
        <f t="shared" si="40"/>
        <v>-975.36</v>
      </c>
      <c r="M77" s="6">
        <f t="shared" si="41"/>
        <v>0.34976000000000002</v>
      </c>
      <c r="N77" s="13"/>
      <c r="O77" s="14"/>
      <c r="P77" s="5">
        <f t="shared" si="42"/>
        <v>0</v>
      </c>
      <c r="Q77" s="6" t="str">
        <f t="shared" si="43"/>
        <v/>
      </c>
      <c r="R77" s="13"/>
      <c r="S77" s="14"/>
      <c r="T77" s="5">
        <f t="shared" si="44"/>
        <v>0</v>
      </c>
      <c r="U77" s="6" t="str">
        <f t="shared" si="45"/>
        <v/>
      </c>
      <c r="V77" s="13"/>
      <c r="W77" s="14"/>
      <c r="X77" s="5">
        <f t="shared" si="46"/>
        <v>0</v>
      </c>
      <c r="Y77" s="6" t="str">
        <f t="shared" si="47"/>
        <v/>
      </c>
      <c r="Z77" s="13"/>
      <c r="AA77" s="14"/>
      <c r="AB77" s="5">
        <f t="shared" si="48"/>
        <v>0</v>
      </c>
      <c r="AC77" s="6" t="str">
        <f t="shared" si="49"/>
        <v/>
      </c>
      <c r="AD77" s="15">
        <f t="shared" si="50"/>
        <v>49056.33</v>
      </c>
      <c r="AE77" s="16">
        <f t="shared" si="51"/>
        <v>53500</v>
      </c>
      <c r="AF77" s="5">
        <f t="shared" si="52"/>
        <v>-4443.6699999999983</v>
      </c>
      <c r="AG77" s="6">
        <f t="shared" si="53"/>
        <v>0.91694074766355138</v>
      </c>
    </row>
    <row r="78" spans="1:33" ht="14.25" customHeight="1" x14ac:dyDescent="0.45">
      <c r="A78" s="3" t="s">
        <v>84</v>
      </c>
      <c r="B78" s="15">
        <f>3768.75</f>
        <v>3768.75</v>
      </c>
      <c r="C78" s="16">
        <v>4000</v>
      </c>
      <c r="D78" s="5">
        <f t="shared" si="36"/>
        <v>-231.25</v>
      </c>
      <c r="E78" s="6">
        <f t="shared" si="37"/>
        <v>0.94218749999999996</v>
      </c>
      <c r="F78" s="13"/>
      <c r="G78" s="14"/>
      <c r="H78" s="5">
        <f t="shared" si="38"/>
        <v>0</v>
      </c>
      <c r="I78" s="6" t="str">
        <f t="shared" si="39"/>
        <v/>
      </c>
      <c r="J78" s="15">
        <f>831.36</f>
        <v>831.36</v>
      </c>
      <c r="K78" s="16">
        <v>1000</v>
      </c>
      <c r="L78" s="5">
        <f t="shared" si="40"/>
        <v>-168.64</v>
      </c>
      <c r="M78" s="6">
        <f t="shared" si="41"/>
        <v>0.83135999999999999</v>
      </c>
      <c r="N78" s="15">
        <f>7568.72</f>
        <v>7568.72</v>
      </c>
      <c r="O78" s="16">
        <v>8000</v>
      </c>
      <c r="P78" s="5">
        <f t="shared" si="42"/>
        <v>-431.27999999999975</v>
      </c>
      <c r="Q78" s="6">
        <f t="shared" si="43"/>
        <v>0.94608999999999999</v>
      </c>
      <c r="R78" s="15">
        <f>5428.89</f>
        <v>5428.89</v>
      </c>
      <c r="S78" s="16">
        <v>5000</v>
      </c>
      <c r="T78" s="5">
        <f t="shared" si="44"/>
        <v>428.89000000000033</v>
      </c>
      <c r="U78" s="6">
        <f t="shared" si="45"/>
        <v>1.0857780000000001</v>
      </c>
      <c r="V78" s="15">
        <f>3829.81</f>
        <v>3829.81</v>
      </c>
      <c r="W78" s="16">
        <v>4000</v>
      </c>
      <c r="X78" s="5">
        <f t="shared" si="46"/>
        <v>-170.19000000000005</v>
      </c>
      <c r="Y78" s="6">
        <f t="shared" si="47"/>
        <v>0.95745250000000004</v>
      </c>
      <c r="Z78" s="15">
        <f>1200</f>
        <v>1200</v>
      </c>
      <c r="AA78" s="16">
        <v>2500</v>
      </c>
      <c r="AB78" s="5">
        <f t="shared" si="48"/>
        <v>-1300</v>
      </c>
      <c r="AC78" s="6">
        <f t="shared" si="49"/>
        <v>0.48</v>
      </c>
      <c r="AD78" s="15">
        <f t="shared" si="50"/>
        <v>22627.530000000002</v>
      </c>
      <c r="AE78" s="16">
        <f t="shared" si="51"/>
        <v>24500</v>
      </c>
      <c r="AF78" s="5">
        <f t="shared" si="52"/>
        <v>-1872.4699999999975</v>
      </c>
      <c r="AG78" s="6">
        <f t="shared" si="53"/>
        <v>0.9235726530612246</v>
      </c>
    </row>
    <row r="79" spans="1:33" ht="14.25" customHeight="1" x14ac:dyDescent="0.45">
      <c r="A79" s="3" t="s">
        <v>85</v>
      </c>
      <c r="B79" s="15">
        <f>7905.89</f>
        <v>7905.89</v>
      </c>
      <c r="C79" s="16">
        <v>8000</v>
      </c>
      <c r="D79" s="5">
        <f t="shared" si="36"/>
        <v>-94.109999999999673</v>
      </c>
      <c r="E79" s="6">
        <f t="shared" si="37"/>
        <v>0.98823625000000004</v>
      </c>
      <c r="F79" s="15">
        <f>2325.03</f>
        <v>2325.0300000000002</v>
      </c>
      <c r="G79" s="16">
        <v>3000</v>
      </c>
      <c r="H79" s="5">
        <f t="shared" si="38"/>
        <v>-674.9699999999998</v>
      </c>
      <c r="I79" s="6">
        <f t="shared" si="39"/>
        <v>0.77501000000000009</v>
      </c>
      <c r="J79" s="15">
        <f>2853.33</f>
        <v>2853.33</v>
      </c>
      <c r="K79" s="16">
        <v>3000</v>
      </c>
      <c r="L79" s="5">
        <f t="shared" si="40"/>
        <v>-146.67000000000007</v>
      </c>
      <c r="M79" s="6">
        <f t="shared" si="41"/>
        <v>0.95111000000000001</v>
      </c>
      <c r="N79" s="15">
        <f>12791.89</f>
        <v>12791.89</v>
      </c>
      <c r="O79" s="16">
        <v>18000</v>
      </c>
      <c r="P79" s="5">
        <f t="shared" si="42"/>
        <v>-5208.1100000000006</v>
      </c>
      <c r="Q79" s="6">
        <f t="shared" si="43"/>
        <v>0.71066055555555552</v>
      </c>
      <c r="R79" s="15">
        <f>16230.65</f>
        <v>16230.65</v>
      </c>
      <c r="S79" s="16">
        <v>17000</v>
      </c>
      <c r="T79" s="5">
        <f t="shared" si="44"/>
        <v>-769.35000000000036</v>
      </c>
      <c r="U79" s="6">
        <f t="shared" si="45"/>
        <v>0.9547441176470588</v>
      </c>
      <c r="V79" s="15">
        <f>36292.76</f>
        <v>36292.76</v>
      </c>
      <c r="W79" s="16">
        <v>35000</v>
      </c>
      <c r="X79" s="5">
        <f t="shared" si="46"/>
        <v>1292.760000000002</v>
      </c>
      <c r="Y79" s="6">
        <f t="shared" si="47"/>
        <v>1.0369360000000001</v>
      </c>
      <c r="Z79" s="15">
        <f>2891.89</f>
        <v>2891.89</v>
      </c>
      <c r="AA79" s="16">
        <v>4000</v>
      </c>
      <c r="AB79" s="5">
        <f t="shared" si="48"/>
        <v>-1108.1100000000001</v>
      </c>
      <c r="AC79" s="6">
        <f t="shared" si="49"/>
        <v>0.72297250000000002</v>
      </c>
      <c r="AD79" s="15">
        <f t="shared" si="50"/>
        <v>81291.44</v>
      </c>
      <c r="AE79" s="16">
        <f t="shared" si="51"/>
        <v>88000</v>
      </c>
      <c r="AF79" s="5">
        <f t="shared" si="52"/>
        <v>-6708.5599999999977</v>
      </c>
      <c r="AG79" s="6">
        <f t="shared" si="53"/>
        <v>0.92376636363636366</v>
      </c>
    </row>
    <row r="80" spans="1:33" ht="14.25" customHeight="1" x14ac:dyDescent="0.45">
      <c r="A80" s="3" t="s">
        <v>86</v>
      </c>
      <c r="B80" s="15">
        <f>1460.28</f>
        <v>1460.28</v>
      </c>
      <c r="C80" s="16">
        <v>1750</v>
      </c>
      <c r="D80" s="5">
        <f t="shared" si="36"/>
        <v>-289.72000000000003</v>
      </c>
      <c r="E80" s="6">
        <f t="shared" si="37"/>
        <v>0.83444571428571424</v>
      </c>
      <c r="F80" s="15">
        <f>695.47</f>
        <v>695.47</v>
      </c>
      <c r="G80" s="16">
        <v>1000</v>
      </c>
      <c r="H80" s="5">
        <f t="shared" si="38"/>
        <v>-304.52999999999997</v>
      </c>
      <c r="I80" s="6">
        <f t="shared" si="39"/>
        <v>0.69547000000000003</v>
      </c>
      <c r="J80" s="15">
        <f>575.53</f>
        <v>575.53</v>
      </c>
      <c r="K80" s="16">
        <f>1000</f>
        <v>1000</v>
      </c>
      <c r="L80" s="5">
        <f t="shared" si="40"/>
        <v>-424.47</v>
      </c>
      <c r="M80" s="6">
        <f t="shared" si="41"/>
        <v>0.57552999999999999</v>
      </c>
      <c r="N80" s="15">
        <f>12861.41</f>
        <v>12861.41</v>
      </c>
      <c r="O80" s="16">
        <v>12000</v>
      </c>
      <c r="P80" s="5">
        <f t="shared" si="42"/>
        <v>861.40999999999985</v>
      </c>
      <c r="Q80" s="6">
        <f t="shared" si="43"/>
        <v>1.0717841666666668</v>
      </c>
      <c r="R80" s="15">
        <f>14748.57</f>
        <v>14748.57</v>
      </c>
      <c r="S80" s="16">
        <v>15000</v>
      </c>
      <c r="T80" s="5">
        <f t="shared" si="44"/>
        <v>-251.43000000000029</v>
      </c>
      <c r="U80" s="6">
        <f t="shared" si="45"/>
        <v>0.98323799999999995</v>
      </c>
      <c r="V80" s="15">
        <f>13792.16</f>
        <v>13792.16</v>
      </c>
      <c r="W80" s="16">
        <v>12000</v>
      </c>
      <c r="X80" s="5">
        <f t="shared" si="46"/>
        <v>1792.1599999999999</v>
      </c>
      <c r="Y80" s="6">
        <f t="shared" si="47"/>
        <v>1.1493466666666667</v>
      </c>
      <c r="Z80" s="15">
        <f>558.61</f>
        <v>558.61</v>
      </c>
      <c r="AA80" s="16">
        <f>1000</f>
        <v>1000</v>
      </c>
      <c r="AB80" s="5">
        <f t="shared" si="48"/>
        <v>-441.39</v>
      </c>
      <c r="AC80" s="6">
        <f t="shared" si="49"/>
        <v>0.55861000000000005</v>
      </c>
      <c r="AD80" s="15">
        <f t="shared" si="50"/>
        <v>44692.03</v>
      </c>
      <c r="AE80" s="16">
        <f t="shared" si="51"/>
        <v>43750</v>
      </c>
      <c r="AF80" s="5">
        <f t="shared" si="52"/>
        <v>942.02999999999884</v>
      </c>
      <c r="AG80" s="6">
        <f t="shared" si="53"/>
        <v>1.0215321142857143</v>
      </c>
    </row>
    <row r="81" spans="1:33" ht="14.25" customHeight="1" x14ac:dyDescent="0.45">
      <c r="A81" s="3" t="s">
        <v>87</v>
      </c>
      <c r="B81" s="13"/>
      <c r="C81" s="14"/>
      <c r="D81" s="5">
        <f t="shared" si="36"/>
        <v>0</v>
      </c>
      <c r="E81" s="6" t="str">
        <f t="shared" si="37"/>
        <v/>
      </c>
      <c r="F81" s="15">
        <f>14322.07</f>
        <v>14322.07</v>
      </c>
      <c r="G81" s="16">
        <v>16000</v>
      </c>
      <c r="H81" s="5">
        <f t="shared" si="38"/>
        <v>-1677.9300000000003</v>
      </c>
      <c r="I81" s="6">
        <f t="shared" si="39"/>
        <v>0.895129375</v>
      </c>
      <c r="J81" s="13"/>
      <c r="K81" s="16">
        <f>500</f>
        <v>500</v>
      </c>
      <c r="L81" s="5">
        <f t="shared" si="40"/>
        <v>-500</v>
      </c>
      <c r="M81" s="6">
        <f t="shared" si="41"/>
        <v>0</v>
      </c>
      <c r="N81" s="15">
        <f>1841.27</f>
        <v>1841.27</v>
      </c>
      <c r="O81" s="16">
        <v>2000</v>
      </c>
      <c r="P81" s="5">
        <f t="shared" si="42"/>
        <v>-158.73000000000002</v>
      </c>
      <c r="Q81" s="6">
        <f t="shared" si="43"/>
        <v>0.92063499999999998</v>
      </c>
      <c r="R81" s="13"/>
      <c r="S81" s="14"/>
      <c r="T81" s="5">
        <f t="shared" si="44"/>
        <v>0</v>
      </c>
      <c r="U81" s="6" t="str">
        <f t="shared" si="45"/>
        <v/>
      </c>
      <c r="V81" s="13"/>
      <c r="W81" s="14"/>
      <c r="X81" s="5">
        <f t="shared" si="46"/>
        <v>0</v>
      </c>
      <c r="Y81" s="6" t="str">
        <f t="shared" si="47"/>
        <v/>
      </c>
      <c r="Z81" s="13"/>
      <c r="AA81" s="14"/>
      <c r="AB81" s="5">
        <f t="shared" si="48"/>
        <v>0</v>
      </c>
      <c r="AC81" s="6" t="str">
        <f t="shared" si="49"/>
        <v/>
      </c>
      <c r="AD81" s="15">
        <f t="shared" si="50"/>
        <v>16163.34</v>
      </c>
      <c r="AE81" s="16">
        <f t="shared" si="51"/>
        <v>18500</v>
      </c>
      <c r="AF81" s="5">
        <f t="shared" si="52"/>
        <v>-2336.66</v>
      </c>
      <c r="AG81" s="6">
        <f t="shared" si="53"/>
        <v>0.87369405405405409</v>
      </c>
    </row>
    <row r="82" spans="1:33" ht="14.25" customHeight="1" x14ac:dyDescent="0.45">
      <c r="A82" s="3" t="s">
        <v>88</v>
      </c>
      <c r="B82" s="15">
        <f>445.36</f>
        <v>445.36</v>
      </c>
      <c r="C82" s="16">
        <v>1000</v>
      </c>
      <c r="D82" s="5">
        <f t="shared" si="36"/>
        <v>-554.64</v>
      </c>
      <c r="E82" s="6">
        <f t="shared" si="37"/>
        <v>0.44536000000000003</v>
      </c>
      <c r="F82" s="15">
        <f>2457.84</f>
        <v>2457.84</v>
      </c>
      <c r="G82" s="16">
        <v>3000</v>
      </c>
      <c r="H82" s="5">
        <f t="shared" si="38"/>
        <v>-542.15999999999985</v>
      </c>
      <c r="I82" s="6">
        <f t="shared" si="39"/>
        <v>0.81928000000000001</v>
      </c>
      <c r="J82" s="15">
        <f>454.07</f>
        <v>454.07</v>
      </c>
      <c r="K82" s="16">
        <v>500</v>
      </c>
      <c r="L82" s="5">
        <f t="shared" si="40"/>
        <v>-45.930000000000007</v>
      </c>
      <c r="M82" s="6">
        <f t="shared" si="41"/>
        <v>0.90813999999999995</v>
      </c>
      <c r="N82" s="15">
        <f>18570.42</f>
        <v>18570.419999999998</v>
      </c>
      <c r="O82" s="16">
        <v>18000</v>
      </c>
      <c r="P82" s="5">
        <f t="shared" si="42"/>
        <v>570.41999999999825</v>
      </c>
      <c r="Q82" s="6">
        <f t="shared" si="43"/>
        <v>1.03169</v>
      </c>
      <c r="R82" s="15">
        <f>9746.35</f>
        <v>9746.35</v>
      </c>
      <c r="S82" s="16">
        <v>10000</v>
      </c>
      <c r="T82" s="5">
        <f t="shared" si="44"/>
        <v>-253.64999999999964</v>
      </c>
      <c r="U82" s="6">
        <f t="shared" si="45"/>
        <v>0.97463500000000003</v>
      </c>
      <c r="V82" s="15">
        <f>47333.49</f>
        <v>47333.49</v>
      </c>
      <c r="W82" s="16">
        <v>45000</v>
      </c>
      <c r="X82" s="5">
        <f t="shared" si="46"/>
        <v>2333.489999999998</v>
      </c>
      <c r="Y82" s="6">
        <f t="shared" si="47"/>
        <v>1.0518553333333334</v>
      </c>
      <c r="Z82" s="15">
        <f>1566.03</f>
        <v>1566.03</v>
      </c>
      <c r="AA82" s="16">
        <v>2500</v>
      </c>
      <c r="AB82" s="5">
        <f t="shared" si="48"/>
        <v>-933.97</v>
      </c>
      <c r="AC82" s="6">
        <f t="shared" si="49"/>
        <v>0.62641199999999997</v>
      </c>
      <c r="AD82" s="15">
        <f t="shared" si="50"/>
        <v>80573.56</v>
      </c>
      <c r="AE82" s="16">
        <f t="shared" si="51"/>
        <v>80000</v>
      </c>
      <c r="AF82" s="5">
        <f t="shared" si="52"/>
        <v>573.55999999999767</v>
      </c>
      <c r="AG82" s="6">
        <f t="shared" si="53"/>
        <v>1.0071695000000001</v>
      </c>
    </row>
    <row r="83" spans="1:33" ht="14.25" customHeight="1" x14ac:dyDescent="0.45">
      <c r="A83" s="3" t="s">
        <v>89</v>
      </c>
      <c r="B83" s="15">
        <f>1394.33</f>
        <v>1394.33</v>
      </c>
      <c r="C83" s="16">
        <f>1500</f>
        <v>1500</v>
      </c>
      <c r="D83" s="5">
        <f t="shared" si="36"/>
        <v>-105.67000000000007</v>
      </c>
      <c r="E83" s="6">
        <f t="shared" si="37"/>
        <v>0.92955333333333323</v>
      </c>
      <c r="F83" s="15">
        <f>131.26</f>
        <v>131.26</v>
      </c>
      <c r="G83" s="16">
        <f>300</f>
        <v>300</v>
      </c>
      <c r="H83" s="5">
        <f t="shared" si="38"/>
        <v>-168.74</v>
      </c>
      <c r="I83" s="6">
        <f t="shared" si="39"/>
        <v>0.43753333333333333</v>
      </c>
      <c r="J83" s="15">
        <f>975.02</f>
        <v>975.02</v>
      </c>
      <c r="K83" s="16">
        <v>1000</v>
      </c>
      <c r="L83" s="5">
        <f t="shared" si="40"/>
        <v>-24.980000000000018</v>
      </c>
      <c r="M83" s="6">
        <f t="shared" si="41"/>
        <v>0.97502</v>
      </c>
      <c r="N83" s="15">
        <f>2154.05</f>
        <v>2154.0500000000002</v>
      </c>
      <c r="O83" s="16">
        <v>2500</v>
      </c>
      <c r="P83" s="5">
        <f t="shared" si="42"/>
        <v>-345.94999999999982</v>
      </c>
      <c r="Q83" s="6">
        <f t="shared" si="43"/>
        <v>0.86162000000000005</v>
      </c>
      <c r="R83" s="15">
        <f>2704.83</f>
        <v>2704.83</v>
      </c>
      <c r="S83" s="16">
        <v>2500</v>
      </c>
      <c r="T83" s="5">
        <f t="shared" si="44"/>
        <v>204.82999999999993</v>
      </c>
      <c r="U83" s="6">
        <f t="shared" si="45"/>
        <v>1.0819319999999999</v>
      </c>
      <c r="V83" s="15">
        <f>1287.54</f>
        <v>1287.54</v>
      </c>
      <c r="W83" s="16">
        <v>1000</v>
      </c>
      <c r="X83" s="5">
        <f t="shared" si="46"/>
        <v>287.53999999999996</v>
      </c>
      <c r="Y83" s="6">
        <f t="shared" si="47"/>
        <v>1.2875399999999999</v>
      </c>
      <c r="Z83" s="15">
        <f>448.8</f>
        <v>448.8</v>
      </c>
      <c r="AA83" s="16">
        <f>1000</f>
        <v>1000</v>
      </c>
      <c r="AB83" s="5">
        <f t="shared" si="48"/>
        <v>-551.20000000000005</v>
      </c>
      <c r="AC83" s="6">
        <f t="shared" si="49"/>
        <v>0.44880000000000003</v>
      </c>
      <c r="AD83" s="15">
        <f t="shared" si="50"/>
        <v>9095.8299999999981</v>
      </c>
      <c r="AE83" s="16">
        <f t="shared" si="51"/>
        <v>9800</v>
      </c>
      <c r="AF83" s="5">
        <f t="shared" si="52"/>
        <v>-704.17000000000189</v>
      </c>
      <c r="AG83" s="6">
        <f t="shared" si="53"/>
        <v>0.92814591836734672</v>
      </c>
    </row>
    <row r="84" spans="1:33" ht="14.25" customHeight="1" x14ac:dyDescent="0.45">
      <c r="A84" s="3" t="s">
        <v>90</v>
      </c>
      <c r="B84" s="13"/>
      <c r="C84" s="14"/>
      <c r="D84" s="5">
        <f t="shared" si="36"/>
        <v>0</v>
      </c>
      <c r="E84" s="6" t="str">
        <f t="shared" si="37"/>
        <v/>
      </c>
      <c r="F84" s="15">
        <f>32904.2</f>
        <v>32904.199999999997</v>
      </c>
      <c r="G84" s="16">
        <v>35000</v>
      </c>
      <c r="H84" s="5">
        <f t="shared" si="38"/>
        <v>-2095.8000000000029</v>
      </c>
      <c r="I84" s="6">
        <f t="shared" si="39"/>
        <v>0.94011999999999996</v>
      </c>
      <c r="J84" s="15">
        <f>200</f>
        <v>200</v>
      </c>
      <c r="K84" s="16">
        <v>250</v>
      </c>
      <c r="L84" s="5">
        <f t="shared" si="40"/>
        <v>-50</v>
      </c>
      <c r="M84" s="6">
        <f t="shared" si="41"/>
        <v>0.8</v>
      </c>
      <c r="N84" s="15">
        <f>1500</f>
        <v>1500</v>
      </c>
      <c r="O84" s="16">
        <v>2000</v>
      </c>
      <c r="P84" s="5">
        <f t="shared" si="42"/>
        <v>-500</v>
      </c>
      <c r="Q84" s="6">
        <f t="shared" si="43"/>
        <v>0.75</v>
      </c>
      <c r="R84" s="15">
        <f>7649</f>
        <v>7649</v>
      </c>
      <c r="S84" s="16">
        <v>8000</v>
      </c>
      <c r="T84" s="5">
        <f t="shared" si="44"/>
        <v>-351</v>
      </c>
      <c r="U84" s="6">
        <f t="shared" si="45"/>
        <v>0.956125</v>
      </c>
      <c r="V84" s="13"/>
      <c r="W84" s="14"/>
      <c r="X84" s="5">
        <f t="shared" si="46"/>
        <v>0</v>
      </c>
      <c r="Y84" s="6" t="str">
        <f t="shared" si="47"/>
        <v/>
      </c>
      <c r="Z84" s="13"/>
      <c r="AA84" s="14"/>
      <c r="AB84" s="5">
        <f t="shared" si="48"/>
        <v>0</v>
      </c>
      <c r="AC84" s="6" t="str">
        <f t="shared" si="49"/>
        <v/>
      </c>
      <c r="AD84" s="15">
        <f t="shared" si="50"/>
        <v>42253.2</v>
      </c>
      <c r="AE84" s="16">
        <f t="shared" si="51"/>
        <v>45250</v>
      </c>
      <c r="AF84" s="5">
        <f t="shared" si="52"/>
        <v>-2996.8000000000029</v>
      </c>
      <c r="AG84" s="6">
        <f t="shared" si="53"/>
        <v>0.93377237569060767</v>
      </c>
    </row>
    <row r="85" spans="1:33" ht="14.25" customHeight="1" x14ac:dyDescent="0.45">
      <c r="A85" s="3" t="s">
        <v>91</v>
      </c>
      <c r="B85" s="15">
        <f>160.44</f>
        <v>160.44</v>
      </c>
      <c r="C85" s="14">
        <v>250</v>
      </c>
      <c r="D85" s="5">
        <f t="shared" si="36"/>
        <v>-89.56</v>
      </c>
      <c r="E85" s="6">
        <f t="shared" si="37"/>
        <v>0.64176</v>
      </c>
      <c r="F85" s="15">
        <f>12757.25</f>
        <v>12757.25</v>
      </c>
      <c r="G85" s="16">
        <v>13000</v>
      </c>
      <c r="H85" s="5">
        <f t="shared" si="38"/>
        <v>-242.75</v>
      </c>
      <c r="I85" s="6">
        <f t="shared" si="39"/>
        <v>0.98132692307692304</v>
      </c>
      <c r="J85" s="15">
        <f>880</f>
        <v>880</v>
      </c>
      <c r="K85" s="16">
        <v>1000</v>
      </c>
      <c r="L85" s="5">
        <f t="shared" si="40"/>
        <v>-120</v>
      </c>
      <c r="M85" s="6">
        <f t="shared" si="41"/>
        <v>0.88</v>
      </c>
      <c r="N85" s="15">
        <f>195</f>
        <v>195</v>
      </c>
      <c r="O85" s="16">
        <v>500</v>
      </c>
      <c r="P85" s="5">
        <f t="shared" si="42"/>
        <v>-305</v>
      </c>
      <c r="Q85" s="6">
        <f t="shared" si="43"/>
        <v>0.39</v>
      </c>
      <c r="R85" s="15">
        <f>2543.75</f>
        <v>2543.75</v>
      </c>
      <c r="S85" s="16">
        <v>2500</v>
      </c>
      <c r="T85" s="5">
        <f t="shared" si="44"/>
        <v>43.75</v>
      </c>
      <c r="U85" s="6">
        <f t="shared" si="45"/>
        <v>1.0175000000000001</v>
      </c>
      <c r="V85" s="13"/>
      <c r="W85" s="14"/>
      <c r="X85" s="5">
        <f t="shared" si="46"/>
        <v>0</v>
      </c>
      <c r="Y85" s="6" t="str">
        <f t="shared" si="47"/>
        <v/>
      </c>
      <c r="Z85" s="13"/>
      <c r="AA85" s="14"/>
      <c r="AB85" s="5">
        <f t="shared" si="48"/>
        <v>0</v>
      </c>
      <c r="AC85" s="6" t="str">
        <f t="shared" si="49"/>
        <v/>
      </c>
      <c r="AD85" s="15">
        <f t="shared" si="50"/>
        <v>16536.440000000002</v>
      </c>
      <c r="AE85" s="16">
        <f t="shared" si="51"/>
        <v>17250</v>
      </c>
      <c r="AF85" s="5">
        <f t="shared" si="52"/>
        <v>-713.55999999999767</v>
      </c>
      <c r="AG85" s="6">
        <f t="shared" si="53"/>
        <v>0.95863420289855084</v>
      </c>
    </row>
    <row r="86" spans="1:33" ht="14.25" customHeight="1" x14ac:dyDescent="0.45">
      <c r="A86" s="3" t="s">
        <v>92</v>
      </c>
      <c r="B86" s="17">
        <f>((((((((((((((((((((((((((((((((((((((((((((((((((((((B31)+(B32))+(B33))+(B34))+(B35))+(B36))+(B37))+(B38))+(B39))+(B40))+(B41))+(B42))+(B43))+(B44))+(B45))+(B46))+(B47))+(B48))+(B49))+(B50))+(B51))+(B52))+(B53))+(B54))+(B55))+(B56))+(B57))+(B58))+(B59))+(B60))+(B61))+(B62))+(B63))+(B64))+(B65))+(B66))+(B67))+(B68))+(B69))+(B70))+(B71))+(B72))+(B73))+(B74))+(B75))+(B76))+(B77))+(B78))+(B79))+(B80))+(B81))+(B82))+(B83))+(B84))+(B85)</f>
        <v>377431.4800000001</v>
      </c>
      <c r="C86" s="18">
        <f>((((((((((((((((((((((((((((((((((((((((((((((((((((((C31)+(C32))+(C33))+(C34))+(C35))+(C36))+(C37))+(C38))+(C39))+(C40))+(C41))+(C42))+(C43))+(C44))+(C45))+(C46))+(C47))+(C48))+(C49))+(C50))+(C51))+(C52))+(C53))+(C54))+(C55))+(C56))+(C57))+(C58))+(C59))+(C60))+(C61))+(C62))+(C63))+(C64))+(C65))+(C66))+(C67))+(C68))+(C69))+(C70))+(C71))+(C72))+(C73))+(C74))+(C75))+(C76))+(C77))+(C78))+(C79))+(C80))+(C81))+(C82))+(C83))+(C84))+(C85)</f>
        <v>316600</v>
      </c>
      <c r="D86" s="7">
        <f t="shared" si="36"/>
        <v>60831.480000000098</v>
      </c>
      <c r="E86" s="8">
        <f t="shared" si="37"/>
        <v>1.1921398610233735</v>
      </c>
      <c r="F86" s="17">
        <f>((((((((((((((((((((((((((((((((((((((((((((((((((((((F31)+(F32))+(F33))+(F34))+(F35))+(F36))+(F37))+(F38))+(F39))+(F40))+(F41))+(F42))+(F43))+(F44))+(F45))+(F46))+(F47))+(F48))+(F49))+(F50))+(F51))+(F52))+(F53))+(F54))+(F55))+(F56))+(F57))+(F58))+(F59))+(F60))+(F61))+(F62))+(F63))+(F64))+(F65))+(F66))+(F67))+(F68))+(F69))+(F70))+(F71))+(F72))+(F73))+(F74))+(F75))+(F76))+(F77))+(F78))+(F79))+(F80))+(F81))+(F82))+(F83))+(F84))+(F85)</f>
        <v>125020.53</v>
      </c>
      <c r="G86" s="18">
        <f>((((((((((((((((((((((((((((((((((((((((((((((((((((((G31)+(G32))+(G33))+(G34))+(G35))+(G36))+(G37))+(G38))+(G39))+(G40))+(G41))+(G42))+(G43))+(G44))+(G45))+(G46))+(G47))+(G48))+(G49))+(G50))+(G51))+(G52))+(G53))+(G54))+(G55))+(G56))+(G57))+(G58))+(G59))+(G60))+(G61))+(G62))+(G63))+(G64))+(G65))+(G66))+(G67))+(G68))+(G69))+(G70))+(G71))+(G72))+(G73))+(G74))+(G75))+(G76))+(G77))+(G78))+(G79))+(G80))+(G81))+(G82))+(G83))+(G84))+(G85)</f>
        <v>129800</v>
      </c>
      <c r="H86" s="7">
        <f t="shared" si="38"/>
        <v>-4779.4700000000012</v>
      </c>
      <c r="I86" s="8">
        <f t="shared" si="39"/>
        <v>0.96317819722650233</v>
      </c>
      <c r="J86" s="17">
        <f>((((((((((((((((((((((((((((((((((((((((((((((((((((((J31)+(J32))+(J33))+(J34))+(J35))+(J36))+(J37))+(J38))+(J39))+(J40))+(J41))+(J42))+(J43))+(J44))+(J45))+(J46))+(J47))+(J48))+(J49))+(J50))+(J51))+(J52))+(J53))+(J54))+(J55))+(J56))+(J57))+(J58))+(J59))+(J60))+(J61))+(J62))+(J63))+(J64))+(J65))+(J66))+(J67))+(J68))+(J69))+(J70))+(J71))+(J72))+(J73))+(J74))+(J75))+(J76))+(J77))+(J78))+(J79))+(J80))+(J81))+(J82))+(J83))+(J84))+(J85)</f>
        <v>44640.549999999996</v>
      </c>
      <c r="K86" s="18">
        <f>((((((((((((((((((((((((((((((((((((((((((((((((((((((K31)+(K32))+(K33))+(K34))+(K35))+(K36))+(K37))+(K38))+(K39))+(K40))+(K41))+(K42))+(K43))+(K44))+(K45))+(K46))+(K47))+(K48))+(K49))+(K50))+(K51))+(K52))+(K53))+(K54))+(K55))+(K56))+(K57))+(K58))+(K59))+(K60))+(K61))+(K62))+(K63))+(K64))+(K65))+(K66))+(K67))+(K68))+(K69))+(K70))+(K71))+(K72))+(K73))+(K74))+(K75))+(K76))+(K77))+(K78))+(K79))+(K80))+(K81))+(K82))+(K83))+(K84))+(K85)</f>
        <v>47550</v>
      </c>
      <c r="L86" s="7">
        <f t="shared" si="40"/>
        <v>-2909.4500000000044</v>
      </c>
      <c r="M86" s="8">
        <f t="shared" si="41"/>
        <v>0.93881282860147208</v>
      </c>
      <c r="N86" s="17">
        <f>((((((((((((((((((((((((((((((((((((((((((((((((((((((N31)+(N32))+(N33))+(N34))+(N35))+(N36))+(N37))+(N38))+(N39))+(N40))+(N41))+(N42))+(N43))+(N44))+(N45))+(N46))+(N47))+(N48))+(N49))+(N50))+(N51))+(N52))+(N53))+(N54))+(N55))+(N56))+(N57))+(N58))+(N59))+(N60))+(N61))+(N62))+(N63))+(N64))+(N65))+(N66))+(N67))+(N68))+(N69))+(N70))+(N71))+(N72))+(N73))+(N74))+(N75))+(N76))+(N77))+(N78))+(N79))+(N80))+(N81))+(N82))+(N83))+(N84))+(N85)</f>
        <v>295795.13999999996</v>
      </c>
      <c r="O86" s="18">
        <f>((((((((((((((((((((((((((((((((((((((((((((((((((((((O31)+(O32))+(O33))+(O34))+(O35))+(O36))+(O37))+(O38))+(O39))+(O40))+(O41))+(O42))+(O43))+(O44))+(O45))+(O46))+(O47))+(O48))+(O49))+(O50))+(O51))+(O52))+(O53))+(O54))+(O55))+(O56))+(O57))+(O58))+(O59))+(O60))+(O61))+(O62))+(O63))+(O64))+(O65))+(O66))+(O67))+(O68))+(O69))+(O70))+(O71))+(O72))+(O73))+(O74))+(O75))+(O76))+(O77))+(O78))+(O79))+(O80))+(O81))+(O82))+(O83))+(O84))+(O85)</f>
        <v>361850</v>
      </c>
      <c r="P86" s="7">
        <f t="shared" si="42"/>
        <v>-66054.860000000044</v>
      </c>
      <c r="Q86" s="8">
        <f t="shared" si="43"/>
        <v>0.81745236976647773</v>
      </c>
      <c r="R86" s="17">
        <f>((((((((((((((((((((((((((((((((((((((((((((((((((((((R31)+(R32))+(R33))+(R34))+(R35))+(R36))+(R37))+(R38))+(R39))+(R40))+(R41))+(R42))+(R43))+(R44))+(R45))+(R46))+(R47))+(R48))+(R49))+(R50))+(R51))+(R52))+(R53))+(R54))+(R55))+(R56))+(R57))+(R58))+(R59))+(R60))+(R61))+(R62))+(R63))+(R64))+(R65))+(R66))+(R67))+(R68))+(R69))+(R70))+(R71))+(R72))+(R73))+(R74))+(R75))+(R76))+(R77))+(R78))+(R79))+(R80))+(R81))+(R82))+(R83))+(R84))+(R85)</f>
        <v>248739.41999999998</v>
      </c>
      <c r="S86" s="18">
        <f>((((((((((((((((((((((((((((((((((((((((((((((((((((((S31)+(S32))+(S33))+(S34))+(S35))+(S36))+(S37))+(S38))+(S39))+(S40))+(S41))+(S42))+(S43))+(S44))+(S45))+(S46))+(S47))+(S48))+(S49))+(S50))+(S51))+(S52))+(S53))+(S54))+(S55))+(S56))+(S57))+(S58))+(S59))+(S60))+(S61))+(S62))+(S63))+(S64))+(S65))+(S66))+(S67))+(S68))+(S69))+(S70))+(S71))+(S72))+(S73))+(S74))+(S75))+(S76))+(S77))+(S78))+(S79))+(S80))+(S81))+(S82))+(S83))+(S84))+(S85)</f>
        <v>249650</v>
      </c>
      <c r="T86" s="7">
        <f t="shared" si="44"/>
        <v>-910.5800000000163</v>
      </c>
      <c r="U86" s="8">
        <f t="shared" si="45"/>
        <v>0.99635257360304419</v>
      </c>
      <c r="V86" s="17">
        <f>((((((((((((((((((((((((((((((((((((((((((((((((((((((V31)+(V32))+(V33))+(V34))+(V35))+(V36))+(V37))+(V38))+(V39))+(V40))+(V41))+(V42))+(V43))+(V44))+(V45))+(V46))+(V47))+(V48))+(V49))+(V50))+(V51))+(V52))+(V53))+(V54))+(V55))+(V56))+(V57))+(V58))+(V59))+(V60))+(V61))+(V62))+(V63))+(V64))+(V65))+(V66))+(V67))+(V68))+(V69))+(V70))+(V71))+(V72))+(V73))+(V74))+(V75))+(V76))+(V77))+(V78))+(V79))+(V80))+(V81))+(V82))+(V83))+(V84))+(V85)</f>
        <v>544384.55000000005</v>
      </c>
      <c r="W86" s="18">
        <f>((((((((((((((((((((((((((((((((((((((((((((((((((((((W31)+(W32))+(W33))+(W34))+(W35))+(W36))+(W37))+(W38))+(W39))+(W40))+(W41))+(W42))+(W43))+(W44))+(W45))+(W46))+(W47))+(W48))+(W49))+(W50))+(W51))+(W52))+(W53))+(W54))+(W55))+(W56))+(W57))+(W58))+(W59))+(W60))+(W61))+(W62))+(W63))+(W64))+(W65))+(W66))+(W67))+(W68))+(W69))+(W70))+(W71))+(W72))+(W73))+(W74))+(W75))+(W76))+(W77))+(W78))+(W79))+(W80))+(W81))+(W82))+(W83))+(W84))+(W85)</f>
        <v>511000</v>
      </c>
      <c r="X86" s="7">
        <f t="shared" si="46"/>
        <v>33384.550000000047</v>
      </c>
      <c r="Y86" s="8">
        <f t="shared" si="47"/>
        <v>1.0653318003913894</v>
      </c>
      <c r="Z86" s="17">
        <f>((((((((((((((((((((((((((((((((((((((((((((((((((((((Z31)+(Z32))+(Z33))+(Z34))+(Z35))+(Z36))+(Z37))+(Z38))+(Z39))+(Z40))+(Z41))+(Z42))+(Z43))+(Z44))+(Z45))+(Z46))+(Z47))+(Z48))+(Z49))+(Z50))+(Z51))+(Z52))+(Z53))+(Z54))+(Z55))+(Z56))+(Z57))+(Z58))+(Z59))+(Z60))+(Z61))+(Z62))+(Z63))+(Z64))+(Z65))+(Z66))+(Z67))+(Z68))+(Z69))+(Z70))+(Z71))+(Z72))+(Z73))+(Z74))+(Z75))+(Z76))+(Z77))+(Z78))+(Z79))+(Z80))+(Z81))+(Z82))+(Z83))+(Z84))+(Z85)</f>
        <v>1112275.5600000003</v>
      </c>
      <c r="AA86" s="18">
        <f>((((((((((((((((((((((((((((((((((((((((((((((((((((((AA31)+(AA32))+(AA33))+(AA34))+(AA35))+(AA36))+(AA37))+(AA38))+(AA39))+(AA40))+(AA41))+(AA42))+(AA43))+(AA44))+(AA45))+(AA46))+(AA47))+(AA48))+(AA49))+(AA50))+(AA51))+(AA52))+(AA53))+(AA54))+(AA55))+(AA56))+(AA57))+(AA58))+(AA59))+(AA60))+(AA61))+(AA62))+(AA63))+(AA64))+(AA65))+(AA66))+(AA67))+(AA68))+(AA69))+(AA70))+(AA71))+(AA72))+(AA73))+(AA74))+(AA75))+(AA76))+(AA77))+(AA78))+(AA79))+(AA80))+(AA81))+(AA82))+(AA83))+(AA84))+(AA85)</f>
        <v>1091350</v>
      </c>
      <c r="AB86" s="7">
        <f t="shared" si="48"/>
        <v>20925.560000000289</v>
      </c>
      <c r="AC86" s="8">
        <f t="shared" si="49"/>
        <v>1.0191740138360748</v>
      </c>
      <c r="AD86" s="17">
        <f t="shared" si="50"/>
        <v>2748287.2300000004</v>
      </c>
      <c r="AE86" s="18">
        <f t="shared" si="51"/>
        <v>2707800</v>
      </c>
      <c r="AF86" s="7">
        <f t="shared" si="52"/>
        <v>40487.230000000447</v>
      </c>
      <c r="AG86" s="8">
        <f t="shared" si="53"/>
        <v>1.0149520754856343</v>
      </c>
    </row>
    <row r="87" spans="1:33" ht="14.25" customHeight="1" x14ac:dyDescent="0.45">
      <c r="A87" s="3" t="s">
        <v>93</v>
      </c>
      <c r="B87" s="17">
        <f>(B29)-(B86)</f>
        <v>230692.7699999999</v>
      </c>
      <c r="C87" s="18">
        <f>(C29)-(C86)</f>
        <v>265400</v>
      </c>
      <c r="D87" s="7">
        <f t="shared" si="36"/>
        <v>-34707.230000000098</v>
      </c>
      <c r="E87" s="8">
        <f t="shared" si="37"/>
        <v>0.86922671439336818</v>
      </c>
      <c r="F87" s="17">
        <f>(F29)-(F86)</f>
        <v>-38801.83</v>
      </c>
      <c r="G87" s="18">
        <f>(G29)-(G86)</f>
        <v>63200</v>
      </c>
      <c r="H87" s="7">
        <f t="shared" si="38"/>
        <v>-102001.83</v>
      </c>
      <c r="I87" s="8">
        <f t="shared" si="39"/>
        <v>-0.61395300632911398</v>
      </c>
      <c r="J87" s="17">
        <f>(J29)-(J86)</f>
        <v>15204.450000000004</v>
      </c>
      <c r="K87" s="18">
        <f>(K29)-(K86)</f>
        <v>14200</v>
      </c>
      <c r="L87" s="7">
        <f t="shared" si="40"/>
        <v>1004.4500000000044</v>
      </c>
      <c r="M87" s="8">
        <f t="shared" si="41"/>
        <v>1.0707359154929581</v>
      </c>
      <c r="N87" s="17">
        <f>(N29)-(N86)</f>
        <v>232030.25000000006</v>
      </c>
      <c r="O87" s="18">
        <f>(O29)-(O86)</f>
        <v>128150</v>
      </c>
      <c r="P87" s="7">
        <f t="shared" si="42"/>
        <v>103880.25000000006</v>
      </c>
      <c r="Q87" s="8">
        <f t="shared" si="43"/>
        <v>1.8106145142411241</v>
      </c>
      <c r="R87" s="17">
        <f>(R29)-(R86)</f>
        <v>253521.53000000003</v>
      </c>
      <c r="S87" s="18">
        <f>(S29)-(S86)</f>
        <v>191350</v>
      </c>
      <c r="T87" s="7">
        <f t="shared" si="44"/>
        <v>62171.530000000028</v>
      </c>
      <c r="U87" s="8">
        <f t="shared" si="45"/>
        <v>1.3249100078390386</v>
      </c>
      <c r="V87" s="17">
        <f>(V29)-(V86)</f>
        <v>275170.17999999993</v>
      </c>
      <c r="W87" s="18">
        <f>(W29)-(W86)</f>
        <v>236000</v>
      </c>
      <c r="X87" s="7">
        <f t="shared" si="46"/>
        <v>39170.179999999935</v>
      </c>
      <c r="Y87" s="8">
        <f t="shared" si="47"/>
        <v>1.1659753389830505</v>
      </c>
      <c r="Z87" s="17">
        <f>(Z29)-(Z86)</f>
        <v>-875892.54000000027</v>
      </c>
      <c r="AA87" s="18">
        <f>(AA29)-(AA86)</f>
        <v>-871350</v>
      </c>
      <c r="AB87" s="7">
        <f t="shared" si="48"/>
        <v>-4542.5400000002701</v>
      </c>
      <c r="AC87" s="8">
        <f t="shared" si="49"/>
        <v>1.0052132208641766</v>
      </c>
      <c r="AD87" s="17">
        <f t="shared" si="50"/>
        <v>91924.80999999959</v>
      </c>
      <c r="AE87" s="18">
        <f t="shared" si="51"/>
        <v>26950</v>
      </c>
      <c r="AF87" s="7">
        <f t="shared" si="52"/>
        <v>64974.80999999959</v>
      </c>
      <c r="AG87" s="8">
        <f t="shared" si="53"/>
        <v>3.4109391465677028</v>
      </c>
    </row>
    <row r="88" spans="1:33" ht="14.25" customHeight="1" x14ac:dyDescent="0.45">
      <c r="A88" s="3" t="s">
        <v>94</v>
      </c>
      <c r="B88" s="19">
        <f>(B87)+(0)</f>
        <v>230692.7699999999</v>
      </c>
      <c r="C88" s="20">
        <f>(C87)+(0)</f>
        <v>265400</v>
      </c>
      <c r="D88" s="9">
        <f t="shared" si="36"/>
        <v>-34707.230000000098</v>
      </c>
      <c r="E88" s="10">
        <f t="shared" si="37"/>
        <v>0.86922671439336818</v>
      </c>
      <c r="F88" s="19">
        <f>(F87)+(0)</f>
        <v>-38801.83</v>
      </c>
      <c r="G88" s="20">
        <f>(G87)+(0)</f>
        <v>63200</v>
      </c>
      <c r="H88" s="9">
        <f t="shared" si="38"/>
        <v>-102001.83</v>
      </c>
      <c r="I88" s="10">
        <f t="shared" si="39"/>
        <v>-0.61395300632911398</v>
      </c>
      <c r="J88" s="19">
        <f>(J87)+(0)</f>
        <v>15204.450000000004</v>
      </c>
      <c r="K88" s="20">
        <f>(K87)+(0)</f>
        <v>14200</v>
      </c>
      <c r="L88" s="9">
        <f t="shared" si="40"/>
        <v>1004.4500000000044</v>
      </c>
      <c r="M88" s="10">
        <f t="shared" si="41"/>
        <v>1.0707359154929581</v>
      </c>
      <c r="N88" s="19">
        <f>(N87)+(0)</f>
        <v>232030.25000000006</v>
      </c>
      <c r="O88" s="20">
        <f>(O87)+(0)</f>
        <v>128150</v>
      </c>
      <c r="P88" s="9">
        <f t="shared" si="42"/>
        <v>103880.25000000006</v>
      </c>
      <c r="Q88" s="10">
        <f t="shared" si="43"/>
        <v>1.8106145142411241</v>
      </c>
      <c r="R88" s="19">
        <f>(R87)+(0)</f>
        <v>253521.53000000003</v>
      </c>
      <c r="S88" s="20">
        <f>(S87)+(0)</f>
        <v>191350</v>
      </c>
      <c r="T88" s="9">
        <f t="shared" si="44"/>
        <v>62171.530000000028</v>
      </c>
      <c r="U88" s="10">
        <f t="shared" si="45"/>
        <v>1.3249100078390386</v>
      </c>
      <c r="V88" s="19">
        <f>(V87)+(0)</f>
        <v>275170.17999999993</v>
      </c>
      <c r="W88" s="20">
        <f>(W87)+(0)</f>
        <v>236000</v>
      </c>
      <c r="X88" s="9">
        <f t="shared" si="46"/>
        <v>39170.179999999935</v>
      </c>
      <c r="Y88" s="10">
        <f t="shared" si="47"/>
        <v>1.1659753389830505</v>
      </c>
      <c r="Z88" s="19">
        <f>(Z87)+(0)</f>
        <v>-875892.54000000027</v>
      </c>
      <c r="AA88" s="20">
        <f>(AA87)+(0)</f>
        <v>-871350</v>
      </c>
      <c r="AB88" s="9">
        <f t="shared" si="48"/>
        <v>-4542.5400000002701</v>
      </c>
      <c r="AC88" s="10">
        <f t="shared" si="49"/>
        <v>1.0052132208641766</v>
      </c>
      <c r="AD88" s="19">
        <f t="shared" si="50"/>
        <v>91924.80999999959</v>
      </c>
      <c r="AE88" s="20">
        <f t="shared" si="51"/>
        <v>26950</v>
      </c>
      <c r="AF88" s="9">
        <f t="shared" si="52"/>
        <v>64974.80999999959</v>
      </c>
      <c r="AG88" s="10">
        <f t="shared" si="53"/>
        <v>3.4109391465677028</v>
      </c>
    </row>
    <row r="89" spans="1:33" x14ac:dyDescent="0.45">
      <c r="A89" s="3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</row>
    <row r="92" spans="1:33" x14ac:dyDescent="0.45">
      <c r="A92" s="23" t="s">
        <v>95</v>
      </c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</row>
  </sheetData>
  <mergeCells count="12">
    <mergeCell ref="V4:Y4"/>
    <mergeCell ref="Z4:AC4"/>
    <mergeCell ref="AD4:AG4"/>
    <mergeCell ref="A92:AG92"/>
    <mergeCell ref="A1:AG1"/>
    <mergeCell ref="A2:AG2"/>
    <mergeCell ref="A3:AG3"/>
    <mergeCell ref="B4:E4"/>
    <mergeCell ref="F4:I4"/>
    <mergeCell ref="J4:M4"/>
    <mergeCell ref="N4:Q4"/>
    <mergeCell ref="R4:U4"/>
  </mergeCells>
  <pageMargins left="0.25" right="0.25" top="0.25" bottom="0.25" header="0.3" footer="0.3"/>
  <pageSetup paperSize="5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vs. Actuals</vt:lpstr>
      <vt:lpstr>'Budget vs. Actuals'!Print_Area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James Walker</cp:lastModifiedBy>
  <cp:lastPrinted>2026-07-16T15:47:12Z</cp:lastPrinted>
  <dcterms:created xsi:type="dcterms:W3CDTF">2026-07-13T17:36:05Z</dcterms:created>
  <dcterms:modified xsi:type="dcterms:W3CDTF">2026-07-16T20:33:35Z</dcterms:modified>
</cp:coreProperties>
</file>